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/>
  <bookViews>
    <workbookView xWindow="1020" yWindow="2820" windowWidth="15315" windowHeight="2595" tabRatio="560" activeTab="2"/>
  </bookViews>
  <sheets>
    <sheet name="Анализ стоимости" sheetId="3" r:id="rId1"/>
    <sheet name="НМЦК" sheetId="4" state="hidden" r:id="rId2"/>
    <sheet name="НМЦК на печать" sheetId="11" r:id="rId3"/>
    <sheet name="Расчет инфляции" sheetId="13" state="hidden" r:id="rId4"/>
  </sheets>
  <definedNames>
    <definedName name="_xlnm._FilterDatabase" localSheetId="0" hidden="1">'Анализ стоимости'!$A$3:$CQ$96</definedName>
    <definedName name="_xlnm._FilterDatabase" localSheetId="1" hidden="1">НМЦК!$J$1:$J$47</definedName>
    <definedName name="_xlnm._FilterDatabase" localSheetId="2" hidden="1">'НМЦК на печать'!$J$2:$J$1673</definedName>
    <definedName name="_xlnm._FilterDatabase" localSheetId="3" hidden="1">'Расчет инфляции'!#REF!</definedName>
    <definedName name="Z_20674EAF_0582_4C28_9051_214C079DC982_.wvu.Cols" localSheetId="1" hidden="1">НМЦК!$I:$I</definedName>
    <definedName name="Z_20674EAF_0582_4C28_9051_214C079DC982_.wvu.Cols" localSheetId="2" hidden="1">'НМЦК на печать'!$I:$I</definedName>
    <definedName name="Z_20674EAF_0582_4C28_9051_214C079DC982_.wvu.PrintArea" localSheetId="1" hidden="1">НМЦК!$A$8:$D$46</definedName>
    <definedName name="Z_20674EAF_0582_4C28_9051_214C079DC982_.wvu.PrintArea" localSheetId="2" hidden="1">'НМЦК на печать'!$A$7:$D$42</definedName>
    <definedName name="Z_20674EAF_0582_4C28_9051_214C079DC982_.wvu.Rows" localSheetId="1" hidden="1">НМЦК!#REF!</definedName>
    <definedName name="Z_20674EAF_0582_4C28_9051_214C079DC982_.wvu.Rows" localSheetId="2" hidden="1">'НМЦК на печать'!#REF!</definedName>
    <definedName name="Z_43889114_04BF_44D3_992E_131E2975CB0B_.wvu.FilterData" localSheetId="0" hidden="1">'Анализ стоимости'!$A$3:$CQ$96</definedName>
    <definedName name="Z_4A5FEB23_9FEA_4E9B_A143_FBC359C68DA8_.wvu.Cols" localSheetId="1" hidden="1">НМЦК!$I:$I</definedName>
    <definedName name="Z_4A5FEB23_9FEA_4E9B_A143_FBC359C68DA8_.wvu.Cols" localSheetId="2" hidden="1">'НМЦК на печать'!$I:$I</definedName>
    <definedName name="Z_4A5FEB23_9FEA_4E9B_A143_FBC359C68DA8_.wvu.FilterData" localSheetId="0" hidden="1">'Анализ стоимости'!$A$3:$CQ$96</definedName>
    <definedName name="Z_4A5FEB23_9FEA_4E9B_A143_FBC359C68DA8_.wvu.FilterData" localSheetId="3" hidden="1">'Расчет инфляции'!#REF!</definedName>
    <definedName name="Z_4A5FEB23_9FEA_4E9B_A143_FBC359C68DA8_.wvu.PrintArea" localSheetId="0" hidden="1">'Анализ стоимости'!$G$2:$AZ$103</definedName>
    <definedName name="Z_4A5FEB23_9FEA_4E9B_A143_FBC359C68DA8_.wvu.PrintArea" localSheetId="1" hidden="1">НМЦК!$A$8:$D$46</definedName>
    <definedName name="Z_4A5FEB23_9FEA_4E9B_A143_FBC359C68DA8_.wvu.PrintArea" localSheetId="2" hidden="1">'НМЦК на печать'!$A$7:$D$42</definedName>
    <definedName name="Z_4A5FEB23_9FEA_4E9B_A143_FBC359C68DA8_.wvu.PrintTitles" localSheetId="0" hidden="1">'Анализ стоимости'!$2:$2</definedName>
    <definedName name="Z_4A5FEB23_9FEA_4E9B_A143_FBC359C68DA8_.wvu.Rows" localSheetId="0" hidden="1">'Анализ стоимости'!#REF!,'Анализ стоимости'!#REF!,'Анализ стоимости'!#REF!</definedName>
    <definedName name="Z_4A5FEB23_9FEA_4E9B_A143_FBC359C68DA8_.wvu.Rows" localSheetId="1" hidden="1">НМЦК!#REF!</definedName>
    <definedName name="Z_4A5FEB23_9FEA_4E9B_A143_FBC359C68DA8_.wvu.Rows" localSheetId="2" hidden="1">'НМЦК на печать'!#REF!</definedName>
    <definedName name="Z_67AC2CBC_2876_4E14_8EE2_582C5F737BC3_.wvu.Cols" localSheetId="0" hidden="1">'Анализ стоимости'!#REF!,'Анализ стоимости'!#REF!</definedName>
    <definedName name="Z_67AC2CBC_2876_4E14_8EE2_582C5F737BC3_.wvu.Cols" localSheetId="1" hidden="1">НМЦК!$I:$I</definedName>
    <definedName name="Z_67AC2CBC_2876_4E14_8EE2_582C5F737BC3_.wvu.Cols" localSheetId="2" hidden="1">'НМЦК на печать'!$I:$I</definedName>
    <definedName name="Z_67AC2CBC_2876_4E14_8EE2_582C5F737BC3_.wvu.FilterData" localSheetId="0" hidden="1">'Анализ стоимости'!$A$3:$CQ$96</definedName>
    <definedName name="Z_67AC2CBC_2876_4E14_8EE2_582C5F737BC3_.wvu.FilterData" localSheetId="3" hidden="1">'Расчет инфляции'!#REF!</definedName>
    <definedName name="Z_67AC2CBC_2876_4E14_8EE2_582C5F737BC3_.wvu.PrintArea" localSheetId="0" hidden="1">'Анализ стоимости'!$G$2:$AZ$103</definedName>
    <definedName name="Z_67AC2CBC_2876_4E14_8EE2_582C5F737BC3_.wvu.PrintArea" localSheetId="1" hidden="1">НМЦК!$A$8:$D$46</definedName>
    <definedName name="Z_67AC2CBC_2876_4E14_8EE2_582C5F737BC3_.wvu.PrintArea" localSheetId="2" hidden="1">'НМЦК на печать'!$A$7:$D$42</definedName>
    <definedName name="Z_67AC2CBC_2876_4E14_8EE2_582C5F737BC3_.wvu.PrintTitles" localSheetId="0" hidden="1">'Анализ стоимости'!$2:$2</definedName>
    <definedName name="Z_76AC8A47_0222_474F_85DA_9CB477F01022_.wvu.Cols" localSheetId="0" hidden="1">'Анализ стоимости'!#REF!,'Анализ стоимости'!$J:$AO</definedName>
    <definedName name="Z_76AC8A47_0222_474F_85DA_9CB477F01022_.wvu.Cols" localSheetId="1" hidden="1">НМЦК!$I:$I</definedName>
    <definedName name="Z_76AC8A47_0222_474F_85DA_9CB477F01022_.wvu.Cols" localSheetId="2" hidden="1">'НМЦК на печать'!$I:$I</definedName>
    <definedName name="Z_76AC8A47_0222_474F_85DA_9CB477F01022_.wvu.FilterData" localSheetId="0" hidden="1">'Анализ стоимости'!$A$3:$CQ$93</definedName>
    <definedName name="Z_76AC8A47_0222_474F_85DA_9CB477F01022_.wvu.FilterData" localSheetId="3" hidden="1">'Расчет инфляции'!#REF!</definedName>
    <definedName name="Z_76AC8A47_0222_474F_85DA_9CB477F01022_.wvu.PrintArea" localSheetId="0" hidden="1">'Анализ стоимости'!$G$2:$AZ$103</definedName>
    <definedName name="Z_76AC8A47_0222_474F_85DA_9CB477F01022_.wvu.PrintArea" localSheetId="1" hidden="1">НМЦК!$A$8:$D$46</definedName>
    <definedName name="Z_76AC8A47_0222_474F_85DA_9CB477F01022_.wvu.PrintArea" localSheetId="2" hidden="1">'НМЦК на печать'!$A$7:$D$42</definedName>
    <definedName name="Z_76AC8A47_0222_474F_85DA_9CB477F01022_.wvu.PrintTitles" localSheetId="0" hidden="1">'Анализ стоимости'!$2:$2</definedName>
    <definedName name="Z_76AC8A47_0222_474F_85DA_9CB477F01022_.wvu.Rows" localSheetId="0" hidden="1">'Анализ стоимости'!#REF!,'Анализ стоимости'!#REF!,'Анализ стоимости'!#REF!</definedName>
    <definedName name="Z_90F100AD_F246_46FD_9565_AB98EFB8DDA7_.wvu.Cols" localSheetId="1" hidden="1">НМЦК!$I:$I</definedName>
    <definedName name="Z_90F100AD_F246_46FD_9565_AB98EFB8DDA7_.wvu.Cols" localSheetId="2" hidden="1">'НМЦК на печать'!$I:$I</definedName>
    <definedName name="Z_90F100AD_F246_46FD_9565_AB98EFB8DDA7_.wvu.FilterData" localSheetId="0" hidden="1">'Анализ стоимости'!$A$3:$CQ$96</definedName>
    <definedName name="Z_90F100AD_F246_46FD_9565_AB98EFB8DDA7_.wvu.FilterData" localSheetId="3" hidden="1">'Расчет инфляции'!#REF!</definedName>
    <definedName name="Z_90F100AD_F246_46FD_9565_AB98EFB8DDA7_.wvu.PrintArea" localSheetId="0" hidden="1">'Анализ стоимости'!$G$2:$AZ$103</definedName>
    <definedName name="Z_90F100AD_F246_46FD_9565_AB98EFB8DDA7_.wvu.PrintArea" localSheetId="1" hidden="1">НМЦК!$A$8:$D$46</definedName>
    <definedName name="Z_90F100AD_F246_46FD_9565_AB98EFB8DDA7_.wvu.PrintArea" localSheetId="2" hidden="1">'НМЦК на печать'!$A$7:$D$42</definedName>
    <definedName name="Z_90F100AD_F246_46FD_9565_AB98EFB8DDA7_.wvu.PrintTitles" localSheetId="0" hidden="1">'Анализ стоимости'!$2:$2</definedName>
    <definedName name="Z_90F100AD_F246_46FD_9565_AB98EFB8DDA7_.wvu.Rows" localSheetId="0" hidden="1">'Анализ стоимости'!#REF!,'Анализ стоимости'!#REF!,'Анализ стоимости'!#REF!</definedName>
    <definedName name="Z_9DAF7279_AD12_4D0F_ADE4_5141B65ABF3D_.wvu.FilterData" localSheetId="0" hidden="1">'Анализ стоимости'!$A$3:$CQ$96</definedName>
    <definedName name="Z_A19576DF_5EAC_42FB_8EDC_956585D13816_.wvu.Cols" localSheetId="1" hidden="1">НМЦК!$I:$I</definedName>
    <definedName name="Z_A19576DF_5EAC_42FB_8EDC_956585D13816_.wvu.Cols" localSheetId="2" hidden="1">'НМЦК на печать'!$I:$I</definedName>
    <definedName name="Z_A19576DF_5EAC_42FB_8EDC_956585D13816_.wvu.PrintArea" localSheetId="1" hidden="1">НМЦК!$A$8:$D$46</definedName>
    <definedName name="Z_A19576DF_5EAC_42FB_8EDC_956585D13816_.wvu.PrintArea" localSheetId="2" hidden="1">'НМЦК на печать'!$A$7:$D$42</definedName>
    <definedName name="Z_A19576DF_5EAC_42FB_8EDC_956585D13816_.wvu.Rows" localSheetId="1" hidden="1">НМЦК!#REF!</definedName>
    <definedName name="Z_A19576DF_5EAC_42FB_8EDC_956585D13816_.wvu.Rows" localSheetId="2" hidden="1">'НМЦК на печать'!#REF!</definedName>
    <definedName name="Z_B8FD124D_31C2_4F4A_84F1_8C5F7E2A1D9D_.wvu.Cols" localSheetId="1" hidden="1">НМЦК!$I:$I</definedName>
    <definedName name="Z_B8FD124D_31C2_4F4A_84F1_8C5F7E2A1D9D_.wvu.Cols" localSheetId="2" hidden="1">'НМЦК на печать'!$I:$I</definedName>
    <definedName name="Z_B8FD124D_31C2_4F4A_84F1_8C5F7E2A1D9D_.wvu.PrintArea" localSheetId="1" hidden="1">НМЦК!$A$8:$D$46</definedName>
    <definedName name="Z_B8FD124D_31C2_4F4A_84F1_8C5F7E2A1D9D_.wvu.PrintArea" localSheetId="2" hidden="1">'НМЦК на печать'!$A$7:$D$42</definedName>
    <definedName name="Z_B8FD124D_31C2_4F4A_84F1_8C5F7E2A1D9D_.wvu.Rows" localSheetId="1" hidden="1">НМЦК!#REF!</definedName>
    <definedName name="Z_B8FD124D_31C2_4F4A_84F1_8C5F7E2A1D9D_.wvu.Rows" localSheetId="2" hidden="1">'НМЦК на печать'!#REF!</definedName>
    <definedName name="Z_BBEE06E4_9205_40DB_9C78_E17648755B00_.wvu.Cols" localSheetId="0" hidden="1">'Анализ стоимости'!#REF!</definedName>
    <definedName name="Z_BBEE06E4_9205_40DB_9C78_E17648755B00_.wvu.FilterData" localSheetId="0" hidden="1">'Анализ стоимости'!$A$3:$CQ$96</definedName>
    <definedName name="Z_BBEE06E4_9205_40DB_9C78_E17648755B00_.wvu.FilterData" localSheetId="3" hidden="1">'Расчет инфляции'!#REF!</definedName>
    <definedName name="Z_BBEE06E4_9205_40DB_9C78_E17648755B00_.wvu.PrintArea" localSheetId="0" hidden="1">'Анализ стоимости'!$G$2:$AZ$103</definedName>
    <definedName name="Z_BBEE06E4_9205_40DB_9C78_E17648755B00_.wvu.PrintTitles" localSheetId="0" hidden="1">'Анализ стоимости'!$2:$2</definedName>
    <definedName name="Z_BBEE06E4_9205_40DB_9C78_E17648755B00_.wvu.Rows" localSheetId="0" hidden="1">'Анализ стоимости'!#REF!</definedName>
    <definedName name="Z_C619A84C_E4B0_44E1_A044_2C656063D1B7_.wvu.FilterData" localSheetId="0" hidden="1">'Анализ стоимости'!$A$3:$CQ$96</definedName>
    <definedName name="Z_E031E075_6987_4F32_9116_EC6B3E9AF434_.wvu.Cols" localSheetId="1" hidden="1">НМЦК!$I:$I</definedName>
    <definedName name="Z_E031E075_6987_4F32_9116_EC6B3E9AF434_.wvu.Cols" localSheetId="2" hidden="1">'НМЦК на печать'!$I:$I</definedName>
    <definedName name="Z_E031E075_6987_4F32_9116_EC6B3E9AF434_.wvu.FilterData" localSheetId="0" hidden="1">'Анализ стоимости'!$A$3:$CQ$96</definedName>
    <definedName name="Z_E031E075_6987_4F32_9116_EC6B3E9AF434_.wvu.FilterData" localSheetId="3" hidden="1">'Расчет инфляции'!#REF!</definedName>
    <definedName name="Z_E031E075_6987_4F32_9116_EC6B3E9AF434_.wvu.PrintArea" localSheetId="0" hidden="1">'Анализ стоимости'!$G$2:$AZ$103</definedName>
    <definedName name="Z_E031E075_6987_4F32_9116_EC6B3E9AF434_.wvu.PrintArea" localSheetId="1" hidden="1">НМЦК!$A$8:$D$46</definedName>
    <definedName name="Z_E031E075_6987_4F32_9116_EC6B3E9AF434_.wvu.PrintArea" localSheetId="2" hidden="1">'НМЦК на печать'!$A$7:$D$42</definedName>
    <definedName name="Z_E031E075_6987_4F32_9116_EC6B3E9AF434_.wvu.PrintTitles" localSheetId="0" hidden="1">'Анализ стоимости'!$2:$2</definedName>
    <definedName name="Z_E031E075_6987_4F32_9116_EC6B3E9AF434_.wvu.Rows" localSheetId="0" hidden="1">'Анализ стоимости'!#REF!,'Анализ стоимости'!#REF!,'Анализ стоимости'!#REF!</definedName>
    <definedName name="вид_работ">'Расчет инфляции'!$E$1:$E$21</definedName>
    <definedName name="год">'Расчет инфляции'!$N$3:$P$22</definedName>
    <definedName name="_xlnm.Print_Titles" localSheetId="0">'Анализ стоимости'!$2:$2</definedName>
    <definedName name="инф_р">'Расчет инфляции'!$N$51:$S$75</definedName>
    <definedName name="инф_р2">'Расчет инфляции'!$N$77:$S$101</definedName>
    <definedName name="инф_с">'Расчет инфляции'!$V$51:$AA$75</definedName>
    <definedName name="инф_с2">'Расчет инфляции'!$V$77:$AA$101</definedName>
    <definedName name="месяц">'Расчет инфляции'!$C$1:$C$12</definedName>
    <definedName name="_xlnm.Print_Area" localSheetId="0">'Анализ стоимости'!$G$2:$AZ$103</definedName>
    <definedName name="_xlnm.Print_Area" localSheetId="1">НМЦК!$A$2:$D$45</definedName>
    <definedName name="_xlnm.Print_Area" localSheetId="2">'НМЦК на печать'!$A$1:$D$1673</definedName>
    <definedName name="обосн">'Расчет инфляции'!$A$54:$B$55</definedName>
    <definedName name="район">'Расчет инфляции'!$A$1:$A$46</definedName>
    <definedName name="рем_содер">'Расчет инфляции'!$E$1:$L$22</definedName>
    <definedName name="стар_год">'Расчет инфляции'!$AD$3:$AF$21</definedName>
    <definedName name="стар_инф_р">'Расчет инфляции'!$AD$51:$AH$75</definedName>
    <definedName name="стар_инф_р2">'Расчет инфляции'!$AD$77:$AH$101</definedName>
    <definedName name="стар_инф_с">'Расчет инфляции'!$AK$51:$AO$75</definedName>
    <definedName name="стар_инф_с2">'Расчет инфляции'!$AK$77:$AO$101</definedName>
    <definedName name="таблица">'Анализ стоимости'!$A$4:$CQ$95</definedName>
    <definedName name="уров_цен">'Расчет инфляции'!$N$53:$N$75</definedName>
  </definedNames>
  <calcPr calcId="125725"/>
  <customWorkbookViews>
    <customWorkbookView name="Ермолаева Светлана Владимировна - Личное представление" guid="{E031E075-6987-4F32-9116-EC6B3E9AF434}" mergeInterval="0" personalView="1" maximized="1" windowWidth="1276" windowHeight="805" activeSheetId="3"/>
    <customWorkbookView name="Смирнова Марина Владимировна - Личное представление" guid="{90F100AD-F246-46FD-9565-AB98EFB8DDA7}" mergeInterval="0" personalView="1" maximized="1" windowWidth="1276" windowHeight="769" tabRatio="606" activeSheetId="3"/>
    <customWorkbookView name="a_nabokina - Личное представление" guid="{67AC2CBC-2876-4E14-8EE2-582C5F737BC3}" mergeInterval="0" personalView="1" maximized="1" windowWidth="1020" windowHeight="603" activeSheetId="3"/>
    <customWorkbookView name="a_beloshkura - Личное представление" guid="{BBEE06E4-9205-40DB-9C78-E17648755B00}" mergeInterval="0" personalView="1" maximized="1" windowWidth="1436" windowHeight="728" activeSheetId="3"/>
    <customWorkbookView name="s_ermolaeva - Личное представление" guid="{4A5FEB23-9FEA-4E9B-A143-FBC359C68DA8}" mergeInterval="0" personalView="1" maximized="1" windowWidth="1276" windowHeight="878" activeSheetId="3"/>
    <customWorkbookView name="Белошкура Андрей Александрович - Личное представление" guid="{76AC8A47-0222-474F-85DA-9CB477F01022}" mergeInterval="0" personalView="1" maximized="1" windowWidth="1436" windowHeight="667" activeSheetId="3"/>
  </customWorkbookViews>
</workbook>
</file>

<file path=xl/calcChain.xml><?xml version="1.0" encoding="utf-8"?>
<calcChain xmlns="http://schemas.openxmlformats.org/spreadsheetml/2006/main">
  <c r="W8" i="3"/>
  <c r="W7"/>
  <c r="W6"/>
  <c r="W5"/>
  <c r="BN4"/>
  <c r="BB4"/>
  <c r="W4"/>
  <c r="L4"/>
  <c r="K4"/>
  <c r="J4"/>
  <c r="W9" l="1"/>
  <c r="CA3" l="1"/>
  <c r="BZ103"/>
  <c r="A6" l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Z89"/>
  <c r="AV89"/>
  <c r="AU89"/>
  <c r="AC89"/>
  <c r="AH89" s="1"/>
  <c r="V89"/>
  <c r="AB89" s="1"/>
  <c r="P89"/>
  <c r="O89"/>
  <c r="AZ90"/>
  <c r="AV90"/>
  <c r="AU90"/>
  <c r="AC90"/>
  <c r="AH90" s="1"/>
  <c r="V90"/>
  <c r="AB90" s="1"/>
  <c r="P90"/>
  <c r="O90"/>
  <c r="AZ88"/>
  <c r="AV88"/>
  <c r="AU88"/>
  <c r="AC88"/>
  <c r="AH88" s="1"/>
  <c r="V88"/>
  <c r="P88"/>
  <c r="T88" s="1"/>
  <c r="O88"/>
  <c r="AZ87"/>
  <c r="AV87"/>
  <c r="AU87"/>
  <c r="AC87"/>
  <c r="AH87" s="1"/>
  <c r="V87"/>
  <c r="AB87" s="1"/>
  <c r="P87"/>
  <c r="O87"/>
  <c r="AZ86"/>
  <c r="AV86"/>
  <c r="AU86"/>
  <c r="AC86"/>
  <c r="AH86" s="1"/>
  <c r="V86"/>
  <c r="P86"/>
  <c r="T86" s="1"/>
  <c r="O86"/>
  <c r="AZ92"/>
  <c r="AV92"/>
  <c r="AU92"/>
  <c r="AC92"/>
  <c r="AH92" s="1"/>
  <c r="V92"/>
  <c r="AB92" s="1"/>
  <c r="P92"/>
  <c r="T92" s="1"/>
  <c r="O92"/>
  <c r="AZ91"/>
  <c r="AV91"/>
  <c r="AU91"/>
  <c r="AC91"/>
  <c r="AH91" s="1"/>
  <c r="V91"/>
  <c r="P91"/>
  <c r="O91"/>
  <c r="AZ85"/>
  <c r="AV85"/>
  <c r="AU85"/>
  <c r="AC85"/>
  <c r="AH85" s="1"/>
  <c r="V85"/>
  <c r="AB85" s="1"/>
  <c r="P85"/>
  <c r="O85"/>
  <c r="AZ84"/>
  <c r="AV84"/>
  <c r="AU84"/>
  <c r="AC84"/>
  <c r="AH84" s="1"/>
  <c r="V84"/>
  <c r="P84"/>
  <c r="O84"/>
  <c r="AZ83"/>
  <c r="AV83"/>
  <c r="AU83"/>
  <c r="AC83"/>
  <c r="AH83" s="1"/>
  <c r="V83"/>
  <c r="AB83" s="1"/>
  <c r="P83"/>
  <c r="O83"/>
  <c r="AZ82"/>
  <c r="AV82"/>
  <c r="AU82"/>
  <c r="AC82"/>
  <c r="AH82" s="1"/>
  <c r="V82"/>
  <c r="P82"/>
  <c r="O82"/>
  <c r="AZ81"/>
  <c r="AV81"/>
  <c r="AU81"/>
  <c r="AC81"/>
  <c r="AH81" s="1"/>
  <c r="V81"/>
  <c r="AB81" s="1"/>
  <c r="P81"/>
  <c r="O81"/>
  <c r="AZ80"/>
  <c r="AV80"/>
  <c r="AU80"/>
  <c r="AC80"/>
  <c r="AH80" s="1"/>
  <c r="V80"/>
  <c r="AB80" s="1"/>
  <c r="P80"/>
  <c r="T80" s="1"/>
  <c r="O80"/>
  <c r="AZ79"/>
  <c r="AV79"/>
  <c r="AU79"/>
  <c r="AC79"/>
  <c r="AH79" s="1"/>
  <c r="V79"/>
  <c r="P79"/>
  <c r="O79"/>
  <c r="AZ78"/>
  <c r="AV78"/>
  <c r="AU78"/>
  <c r="AC78"/>
  <c r="AH78" s="1"/>
  <c r="V78"/>
  <c r="AB78" s="1"/>
  <c r="P78"/>
  <c r="T78" s="1"/>
  <c r="O78"/>
  <c r="AZ77"/>
  <c r="AV77"/>
  <c r="AU77"/>
  <c r="AC77"/>
  <c r="AH77" s="1"/>
  <c r="V77"/>
  <c r="AB77" s="1"/>
  <c r="P77"/>
  <c r="O77"/>
  <c r="AZ76"/>
  <c r="AV76"/>
  <c r="AU76"/>
  <c r="AC76"/>
  <c r="AH76" s="1"/>
  <c r="V76"/>
  <c r="AB76" s="1"/>
  <c r="P76"/>
  <c r="T76" s="1"/>
  <c r="O76"/>
  <c r="AZ75"/>
  <c r="AV75"/>
  <c r="AU75"/>
  <c r="AC75"/>
  <c r="AH75" s="1"/>
  <c r="V75"/>
  <c r="AB75" s="1"/>
  <c r="P75"/>
  <c r="T75" s="1"/>
  <c r="O75"/>
  <c r="AZ74"/>
  <c r="AV74"/>
  <c r="AU74"/>
  <c r="AC74"/>
  <c r="AH74" s="1"/>
  <c r="V74"/>
  <c r="P74"/>
  <c r="O74"/>
  <c r="AZ73"/>
  <c r="AV73"/>
  <c r="AU73"/>
  <c r="AC73"/>
  <c r="AH73" s="1"/>
  <c r="V73"/>
  <c r="AB73" s="1"/>
  <c r="P73"/>
  <c r="T73" s="1"/>
  <c r="O73"/>
  <c r="AZ72"/>
  <c r="AV72"/>
  <c r="AU72"/>
  <c r="AC72"/>
  <c r="AH72" s="1"/>
  <c r="V72"/>
  <c r="P72"/>
  <c r="O72"/>
  <c r="AZ71"/>
  <c r="AV71"/>
  <c r="AU71"/>
  <c r="AC71"/>
  <c r="AH71" s="1"/>
  <c r="V71"/>
  <c r="AB71" s="1"/>
  <c r="P71"/>
  <c r="T71" s="1"/>
  <c r="O71"/>
  <c r="AZ70"/>
  <c r="AV70"/>
  <c r="AU70"/>
  <c r="AC70"/>
  <c r="AH70" s="1"/>
  <c r="V70"/>
  <c r="AB70" s="1"/>
  <c r="P70"/>
  <c r="O70"/>
  <c r="AZ69"/>
  <c r="AV69"/>
  <c r="AU69"/>
  <c r="AC69"/>
  <c r="AH69" s="1"/>
  <c r="V69"/>
  <c r="AB69" s="1"/>
  <c r="P69"/>
  <c r="T69" s="1"/>
  <c r="O69"/>
  <c r="AZ68"/>
  <c r="AV68"/>
  <c r="AU68"/>
  <c r="AC68"/>
  <c r="AH68" s="1"/>
  <c r="V68"/>
  <c r="P68"/>
  <c r="O68"/>
  <c r="AZ67"/>
  <c r="AV67"/>
  <c r="AU67"/>
  <c r="AC67"/>
  <c r="AH67" s="1"/>
  <c r="V67"/>
  <c r="AB67" s="1"/>
  <c r="P67"/>
  <c r="T67" s="1"/>
  <c r="O67"/>
  <c r="AZ66"/>
  <c r="AV66"/>
  <c r="AU66"/>
  <c r="AC66"/>
  <c r="AH66" s="1"/>
  <c r="V66"/>
  <c r="AB66" s="1"/>
  <c r="P66"/>
  <c r="O66"/>
  <c r="AZ65"/>
  <c r="AV65"/>
  <c r="AU65"/>
  <c r="AC65"/>
  <c r="AH65" s="1"/>
  <c r="V65"/>
  <c r="AB65" s="1"/>
  <c r="P65"/>
  <c r="T65" s="1"/>
  <c r="O65"/>
  <c r="AZ64"/>
  <c r="AV64"/>
  <c r="AU64"/>
  <c r="AC64"/>
  <c r="AH64" s="1"/>
  <c r="V64"/>
  <c r="P64"/>
  <c r="O64"/>
  <c r="AZ63"/>
  <c r="AV63"/>
  <c r="AU63"/>
  <c r="AC63"/>
  <c r="AH63" s="1"/>
  <c r="V63"/>
  <c r="AB63" s="1"/>
  <c r="P63"/>
  <c r="T63" s="1"/>
  <c r="O63"/>
  <c r="AZ62"/>
  <c r="AV62"/>
  <c r="AU62"/>
  <c r="AC62"/>
  <c r="AH62" s="1"/>
  <c r="V62"/>
  <c r="AB62" s="1"/>
  <c r="P62"/>
  <c r="O62"/>
  <c r="AZ61"/>
  <c r="AV61"/>
  <c r="AU61"/>
  <c r="AC61"/>
  <c r="AH61" s="1"/>
  <c r="V61"/>
  <c r="AB61" s="1"/>
  <c r="P61"/>
  <c r="T61" s="1"/>
  <c r="O61"/>
  <c r="AZ60"/>
  <c r="AV60"/>
  <c r="AU60"/>
  <c r="AC60"/>
  <c r="AH60" s="1"/>
  <c r="V60"/>
  <c r="P60"/>
  <c r="O60"/>
  <c r="AZ59"/>
  <c r="AV59"/>
  <c r="AU59"/>
  <c r="AC59"/>
  <c r="AH59" s="1"/>
  <c r="V59"/>
  <c r="AB59" s="1"/>
  <c r="P59"/>
  <c r="T59" s="1"/>
  <c r="O59"/>
  <c r="AZ58"/>
  <c r="AV58"/>
  <c r="AU58"/>
  <c r="AC58"/>
  <c r="AH58" s="1"/>
  <c r="V58"/>
  <c r="AB58" s="1"/>
  <c r="P58"/>
  <c r="O58"/>
  <c r="AZ57"/>
  <c r="AV57"/>
  <c r="AU57"/>
  <c r="AC57"/>
  <c r="AH57" s="1"/>
  <c r="V57"/>
  <c r="AB57" s="1"/>
  <c r="P57"/>
  <c r="T57" s="1"/>
  <c r="O57"/>
  <c r="AZ56"/>
  <c r="AV56"/>
  <c r="AU56"/>
  <c r="AC56"/>
  <c r="AH56" s="1"/>
  <c r="V56"/>
  <c r="P56"/>
  <c r="O56"/>
  <c r="AZ55"/>
  <c r="AV55"/>
  <c r="AU55"/>
  <c r="AC55"/>
  <c r="AH55" s="1"/>
  <c r="V55"/>
  <c r="AB55" s="1"/>
  <c r="P55"/>
  <c r="T55" s="1"/>
  <c r="O55"/>
  <c r="AZ54"/>
  <c r="AV54"/>
  <c r="AU54"/>
  <c r="AC54"/>
  <c r="AH54" s="1"/>
  <c r="V54"/>
  <c r="AB54" s="1"/>
  <c r="P54"/>
  <c r="O54"/>
  <c r="AZ53"/>
  <c r="AV53"/>
  <c r="AU53"/>
  <c r="AC53"/>
  <c r="AH53" s="1"/>
  <c r="V53"/>
  <c r="AB53" s="1"/>
  <c r="P53"/>
  <c r="T53" s="1"/>
  <c r="O53"/>
  <c r="AZ52"/>
  <c r="AV52"/>
  <c r="AU52"/>
  <c r="AC52"/>
  <c r="AH52" s="1"/>
  <c r="V52"/>
  <c r="P52"/>
  <c r="O52"/>
  <c r="AZ51"/>
  <c r="AV51"/>
  <c r="AU51"/>
  <c r="AC51"/>
  <c r="AH51" s="1"/>
  <c r="V51"/>
  <c r="AB51" s="1"/>
  <c r="P51"/>
  <c r="T51" s="1"/>
  <c r="O51"/>
  <c r="AG89" l="1"/>
  <c r="U89"/>
  <c r="AA89" s="1"/>
  <c r="T89"/>
  <c r="U86"/>
  <c r="W86" s="1"/>
  <c r="AB86"/>
  <c r="AG86" s="1"/>
  <c r="T87"/>
  <c r="AG87"/>
  <c r="U88"/>
  <c r="AA88" s="1"/>
  <c r="AB88"/>
  <c r="AG88" s="1"/>
  <c r="T90"/>
  <c r="AG90"/>
  <c r="AB52"/>
  <c r="AG52" s="1"/>
  <c r="AG54"/>
  <c r="AB56"/>
  <c r="AG56" s="1"/>
  <c r="AG58"/>
  <c r="AB60"/>
  <c r="AG60" s="1"/>
  <c r="AG62"/>
  <c r="AB64"/>
  <c r="AG64" s="1"/>
  <c r="AG66"/>
  <c r="AB68"/>
  <c r="AG68" s="1"/>
  <c r="AG70"/>
  <c r="AB74"/>
  <c r="AG74" s="1"/>
  <c r="AG77"/>
  <c r="AB79"/>
  <c r="AG79" s="1"/>
  <c r="AG81"/>
  <c r="U87"/>
  <c r="AA87" s="1"/>
  <c r="U90"/>
  <c r="AG51"/>
  <c r="U54"/>
  <c r="W54" s="1"/>
  <c r="AG55"/>
  <c r="U56"/>
  <c r="W56" s="1"/>
  <c r="AG57"/>
  <c r="U58"/>
  <c r="AA58" s="1"/>
  <c r="AG59"/>
  <c r="U60"/>
  <c r="AA60" s="1"/>
  <c r="AG61"/>
  <c r="U62"/>
  <c r="W62" s="1"/>
  <c r="AG63"/>
  <c r="T64"/>
  <c r="AG65"/>
  <c r="T66"/>
  <c r="U52"/>
  <c r="AG53"/>
  <c r="U51"/>
  <c r="AA51" s="1"/>
  <c r="T52"/>
  <c r="U53"/>
  <c r="AA53" s="1"/>
  <c r="T54"/>
  <c r="U55"/>
  <c r="AA55" s="1"/>
  <c r="T56"/>
  <c r="U57"/>
  <c r="AA57" s="1"/>
  <c r="T58"/>
  <c r="U59"/>
  <c r="AA59" s="1"/>
  <c r="T60"/>
  <c r="U61"/>
  <c r="AA61" s="1"/>
  <c r="T62"/>
  <c r="U64"/>
  <c r="AA64" s="1"/>
  <c r="U66"/>
  <c r="AA66" s="1"/>
  <c r="AG67"/>
  <c r="U68"/>
  <c r="AA68" s="1"/>
  <c r="AG69"/>
  <c r="U70"/>
  <c r="AA70" s="1"/>
  <c r="AG71"/>
  <c r="U72"/>
  <c r="W72" s="1"/>
  <c r="AB72"/>
  <c r="AG72" s="1"/>
  <c r="AG73"/>
  <c r="U74"/>
  <c r="AA74" s="1"/>
  <c r="AG75"/>
  <c r="U63"/>
  <c r="AA63" s="1"/>
  <c r="U65"/>
  <c r="AA65" s="1"/>
  <c r="U67"/>
  <c r="AA67" s="1"/>
  <c r="T68"/>
  <c r="U69"/>
  <c r="AA69" s="1"/>
  <c r="T70"/>
  <c r="U71"/>
  <c r="W71" s="1"/>
  <c r="T72"/>
  <c r="U73"/>
  <c r="W73" s="1"/>
  <c r="T74"/>
  <c r="U75"/>
  <c r="AA75" s="1"/>
  <c r="AG76"/>
  <c r="U77"/>
  <c r="AA77" s="1"/>
  <c r="AG78"/>
  <c r="U79"/>
  <c r="W79" s="1"/>
  <c r="AG80"/>
  <c r="U81"/>
  <c r="W81" s="1"/>
  <c r="U76"/>
  <c r="AA76" s="1"/>
  <c r="T77"/>
  <c r="U78"/>
  <c r="AA78" s="1"/>
  <c r="T79"/>
  <c r="U80"/>
  <c r="AA80" s="1"/>
  <c r="T81"/>
  <c r="U82"/>
  <c r="AA82" s="1"/>
  <c r="AB82"/>
  <c r="AG82" s="1"/>
  <c r="T83"/>
  <c r="AG83"/>
  <c r="U84"/>
  <c r="W84" s="1"/>
  <c r="AB84"/>
  <c r="AG84" s="1"/>
  <c r="T85"/>
  <c r="AG85"/>
  <c r="U91"/>
  <c r="AA91" s="1"/>
  <c r="AB91"/>
  <c r="AG91" s="1"/>
  <c r="AG92"/>
  <c r="T82"/>
  <c r="U83"/>
  <c r="W83" s="1"/>
  <c r="T84"/>
  <c r="U85"/>
  <c r="AA85" s="1"/>
  <c r="T91"/>
  <c r="U92"/>
  <c r="AA92" s="1"/>
  <c r="W93" i="13"/>
  <c r="W92"/>
  <c r="W91"/>
  <c r="W90"/>
  <c r="W89"/>
  <c r="X88"/>
  <c r="X87"/>
  <c r="X86"/>
  <c r="X85"/>
  <c r="X84"/>
  <c r="Y83"/>
  <c r="Y82"/>
  <c r="Y81"/>
  <c r="Y80"/>
  <c r="Y79"/>
  <c r="O93"/>
  <c r="O92"/>
  <c r="O91"/>
  <c r="O90"/>
  <c r="O89"/>
  <c r="P88"/>
  <c r="P87"/>
  <c r="P86"/>
  <c r="P85"/>
  <c r="P84"/>
  <c r="Q83"/>
  <c r="Q82"/>
  <c r="Q81"/>
  <c r="Q80"/>
  <c r="Q79"/>
  <c r="AA75"/>
  <c r="Z75"/>
  <c r="Y75"/>
  <c r="X75"/>
  <c r="W75"/>
  <c r="AA74"/>
  <c r="Z74"/>
  <c r="Y74"/>
  <c r="X74"/>
  <c r="W74"/>
  <c r="AA73"/>
  <c r="Z73"/>
  <c r="Y73"/>
  <c r="X73"/>
  <c r="W73"/>
  <c r="AA72"/>
  <c r="Z72"/>
  <c r="Y72"/>
  <c r="X72"/>
  <c r="W72"/>
  <c r="AA71"/>
  <c r="Z71"/>
  <c r="Y71"/>
  <c r="X71"/>
  <c r="AA70"/>
  <c r="Z70"/>
  <c r="Y70"/>
  <c r="X70"/>
  <c r="W70"/>
  <c r="AA69"/>
  <c r="Z69"/>
  <c r="Y69"/>
  <c r="X69"/>
  <c r="W69"/>
  <c r="AA68"/>
  <c r="Z68"/>
  <c r="Y68"/>
  <c r="X68"/>
  <c r="W68"/>
  <c r="AA67"/>
  <c r="Z67"/>
  <c r="Y67"/>
  <c r="AA66"/>
  <c r="Z66"/>
  <c r="Y66"/>
  <c r="X66"/>
  <c r="AA65"/>
  <c r="Z65"/>
  <c r="Y65"/>
  <c r="X65"/>
  <c r="AA64"/>
  <c r="Z64"/>
  <c r="Y64"/>
  <c r="X64"/>
  <c r="AA63"/>
  <c r="Z63"/>
  <c r="Y63"/>
  <c r="X63"/>
  <c r="AA62"/>
  <c r="Z62"/>
  <c r="AA61"/>
  <c r="Z61"/>
  <c r="Y61"/>
  <c r="AA60"/>
  <c r="Z60"/>
  <c r="Y60"/>
  <c r="AA59"/>
  <c r="Z59"/>
  <c r="Y59"/>
  <c r="AA58"/>
  <c r="Z58"/>
  <c r="Y58"/>
  <c r="AA57"/>
  <c r="AA56"/>
  <c r="Z56"/>
  <c r="AA55"/>
  <c r="Z55"/>
  <c r="AA54"/>
  <c r="Z54"/>
  <c r="AA53"/>
  <c r="Z53"/>
  <c r="S75"/>
  <c r="R75"/>
  <c r="Q75"/>
  <c r="P75"/>
  <c r="O75"/>
  <c r="S74"/>
  <c r="R74"/>
  <c r="Q74"/>
  <c r="P74"/>
  <c r="O74"/>
  <c r="S73"/>
  <c r="R73"/>
  <c r="Q73"/>
  <c r="P73"/>
  <c r="O73"/>
  <c r="S72"/>
  <c r="R72"/>
  <c r="Q72"/>
  <c r="P72"/>
  <c r="O72"/>
  <c r="S71"/>
  <c r="R71"/>
  <c r="Q71"/>
  <c r="P71"/>
  <c r="S70"/>
  <c r="R70"/>
  <c r="Q70"/>
  <c r="P70"/>
  <c r="O70"/>
  <c r="S69"/>
  <c r="R69"/>
  <c r="Q69"/>
  <c r="P69"/>
  <c r="O69"/>
  <c r="S68"/>
  <c r="R68"/>
  <c r="Q68"/>
  <c r="P68"/>
  <c r="O68"/>
  <c r="S67"/>
  <c r="R67"/>
  <c r="Q67"/>
  <c r="S66"/>
  <c r="R66"/>
  <c r="Q66"/>
  <c r="P66"/>
  <c r="S65"/>
  <c r="R65"/>
  <c r="Q65"/>
  <c r="P65"/>
  <c r="S64"/>
  <c r="R64"/>
  <c r="Q64"/>
  <c r="P64"/>
  <c r="S63"/>
  <c r="R63"/>
  <c r="Q63"/>
  <c r="P63"/>
  <c r="S62"/>
  <c r="R62"/>
  <c r="S61"/>
  <c r="R61"/>
  <c r="Q61"/>
  <c r="S60"/>
  <c r="R60"/>
  <c r="Q60"/>
  <c r="S59"/>
  <c r="R59"/>
  <c r="Q59"/>
  <c r="S58"/>
  <c r="R58"/>
  <c r="Q58"/>
  <c r="S57"/>
  <c r="S56"/>
  <c r="R56"/>
  <c r="S55"/>
  <c r="R55"/>
  <c r="S54"/>
  <c r="R54"/>
  <c r="S53"/>
  <c r="R53"/>
  <c r="AX89" i="3" l="1"/>
  <c r="AX88"/>
  <c r="AX86"/>
  <c r="AX91"/>
  <c r="AX84"/>
  <c r="AX82"/>
  <c r="AX80"/>
  <c r="AX78"/>
  <c r="AX76"/>
  <c r="AX74"/>
  <c r="AX72"/>
  <c r="AX70"/>
  <c r="AX68"/>
  <c r="AX66"/>
  <c r="AX64"/>
  <c r="AX62"/>
  <c r="AX60"/>
  <c r="AX58"/>
  <c r="AX56"/>
  <c r="AX54"/>
  <c r="AX52"/>
  <c r="AX90"/>
  <c r="AX87"/>
  <c r="AX92"/>
  <c r="AX85"/>
  <c r="AX83"/>
  <c r="AX81"/>
  <c r="AX79"/>
  <c r="AX77"/>
  <c r="AX75"/>
  <c r="AX73"/>
  <c r="AX71"/>
  <c r="AX69"/>
  <c r="AX67"/>
  <c r="AX65"/>
  <c r="AX63"/>
  <c r="AX61"/>
  <c r="AX59"/>
  <c r="AX57"/>
  <c r="AX55"/>
  <c r="AX53"/>
  <c r="AX51"/>
  <c r="AW90"/>
  <c r="AW87"/>
  <c r="AW92"/>
  <c r="AW85"/>
  <c r="AW83"/>
  <c r="AW81"/>
  <c r="AW79"/>
  <c r="AW77"/>
  <c r="AW75"/>
  <c r="AW73"/>
  <c r="AW71"/>
  <c r="AW69"/>
  <c r="AW67"/>
  <c r="AW65"/>
  <c r="AW63"/>
  <c r="AW61"/>
  <c r="AW59"/>
  <c r="AW57"/>
  <c r="AW55"/>
  <c r="AW53"/>
  <c r="AW51"/>
  <c r="AW89"/>
  <c r="AW88"/>
  <c r="AW86"/>
  <c r="AW91"/>
  <c r="AW84"/>
  <c r="AW82"/>
  <c r="AW80"/>
  <c r="AW78"/>
  <c r="AW76"/>
  <c r="AW74"/>
  <c r="AW72"/>
  <c r="AW70"/>
  <c r="AW68"/>
  <c r="AW66"/>
  <c r="AW64"/>
  <c r="AW62"/>
  <c r="AW60"/>
  <c r="AW58"/>
  <c r="AW56"/>
  <c r="AW54"/>
  <c r="AW52"/>
  <c r="W88"/>
  <c r="W82"/>
  <c r="W89"/>
  <c r="AF89"/>
  <c r="W91"/>
  <c r="W63"/>
  <c r="W70"/>
  <c r="W55"/>
  <c r="AD89"/>
  <c r="AE89" s="1"/>
  <c r="AF88"/>
  <c r="AD86"/>
  <c r="AI86" s="1"/>
  <c r="W78"/>
  <c r="W75"/>
  <c r="W67"/>
  <c r="W65"/>
  <c r="AA90"/>
  <c r="AF90" s="1"/>
  <c r="AD88"/>
  <c r="AE88" s="1"/>
  <c r="AF87"/>
  <c r="AA86"/>
  <c r="AE86" s="1"/>
  <c r="W85"/>
  <c r="W68"/>
  <c r="W59"/>
  <c r="W51"/>
  <c r="W90"/>
  <c r="W87"/>
  <c r="AF91"/>
  <c r="AD84"/>
  <c r="AI84" s="1"/>
  <c r="AD73"/>
  <c r="AI73" s="1"/>
  <c r="AF74"/>
  <c r="AF70"/>
  <c r="AF64"/>
  <c r="AD62"/>
  <c r="AI62" s="1"/>
  <c r="AF60"/>
  <c r="AF58"/>
  <c r="AD56"/>
  <c r="AI56" s="1"/>
  <c r="AD54"/>
  <c r="AI54" s="1"/>
  <c r="AF85"/>
  <c r="AD83"/>
  <c r="AI83" s="1"/>
  <c r="AF82"/>
  <c r="AD81"/>
  <c r="AI81" s="1"/>
  <c r="AD79"/>
  <c r="AI79" s="1"/>
  <c r="AF77"/>
  <c r="AD72"/>
  <c r="AI72" s="1"/>
  <c r="AF68"/>
  <c r="AF66"/>
  <c r="AD85"/>
  <c r="AE85" s="1"/>
  <c r="AD91"/>
  <c r="AE91" s="1"/>
  <c r="AD82"/>
  <c r="AE82" s="1"/>
  <c r="AF92"/>
  <c r="AD78"/>
  <c r="AI78" s="1"/>
  <c r="AA84"/>
  <c r="AE84" s="1"/>
  <c r="AA81"/>
  <c r="AF80"/>
  <c r="AD75"/>
  <c r="AI75" s="1"/>
  <c r="AD71"/>
  <c r="AI71" s="1"/>
  <c r="AD67"/>
  <c r="AI67"/>
  <c r="AD65"/>
  <c r="AI65" s="1"/>
  <c r="AD63"/>
  <c r="AI63" s="1"/>
  <c r="AA79"/>
  <c r="AF78"/>
  <c r="AA73"/>
  <c r="AE73" s="1"/>
  <c r="AA71"/>
  <c r="AE71" s="1"/>
  <c r="AD70"/>
  <c r="AE70" s="1"/>
  <c r="AD68"/>
  <c r="AE68" s="1"/>
  <c r="AA72"/>
  <c r="AE72" s="1"/>
  <c r="AD59"/>
  <c r="AI59" s="1"/>
  <c r="AD55"/>
  <c r="AI55" s="1"/>
  <c r="AD51"/>
  <c r="AI51" s="1"/>
  <c r="AF73"/>
  <c r="AA62"/>
  <c r="AF61"/>
  <c r="AA54"/>
  <c r="AF53"/>
  <c r="AA56"/>
  <c r="AF55"/>
  <c r="AA52"/>
  <c r="AA83"/>
  <c r="AE83" s="1"/>
  <c r="W92"/>
  <c r="AF84"/>
  <c r="W80"/>
  <c r="AE78"/>
  <c r="W76"/>
  <c r="W77"/>
  <c r="AF76"/>
  <c r="AE75"/>
  <c r="W69"/>
  <c r="AE67"/>
  <c r="AE65"/>
  <c r="AE63"/>
  <c r="W74"/>
  <c r="AF72"/>
  <c r="AF75"/>
  <c r="AF69"/>
  <c r="W66"/>
  <c r="W64"/>
  <c r="W61"/>
  <c r="AE59"/>
  <c r="W57"/>
  <c r="AE55"/>
  <c r="W53"/>
  <c r="AE51"/>
  <c r="W52"/>
  <c r="AF67"/>
  <c r="AJ67" s="1"/>
  <c r="AF65"/>
  <c r="AF63"/>
  <c r="W60"/>
  <c r="W58"/>
  <c r="AF57"/>
  <c r="AF51"/>
  <c r="AF59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93"/>
  <c r="P4"/>
  <c r="AJ72" l="1"/>
  <c r="AJ59"/>
  <c r="AF86"/>
  <c r="AJ86" s="1"/>
  <c r="AI89"/>
  <c r="AJ89" s="1"/>
  <c r="AJ65"/>
  <c r="AD90"/>
  <c r="AI90" s="1"/>
  <c r="AJ90" s="1"/>
  <c r="AI88"/>
  <c r="AJ88"/>
  <c r="AJ51"/>
  <c r="AJ63"/>
  <c r="AK63" s="1"/>
  <c r="AJ73"/>
  <c r="AI85"/>
  <c r="AD87"/>
  <c r="AE87" s="1"/>
  <c r="AE90"/>
  <c r="AK59"/>
  <c r="AK51"/>
  <c r="AD58"/>
  <c r="AE58" s="1"/>
  <c r="AK67"/>
  <c r="AD64"/>
  <c r="AE64" s="1"/>
  <c r="AK72"/>
  <c r="AN72" s="1"/>
  <c r="AD77"/>
  <c r="AE77" s="1"/>
  <c r="AJ84"/>
  <c r="AJ55"/>
  <c r="AK73"/>
  <c r="AI68"/>
  <c r="AI70"/>
  <c r="AE79"/>
  <c r="AF79"/>
  <c r="AJ79" s="1"/>
  <c r="AI82"/>
  <c r="AI91"/>
  <c r="AJ68"/>
  <c r="AF71"/>
  <c r="AJ71" s="1"/>
  <c r="AI60"/>
  <c r="AD60"/>
  <c r="AE60" s="1"/>
  <c r="AK65"/>
  <c r="AD52"/>
  <c r="AI52" s="1"/>
  <c r="AD53"/>
  <c r="AE53" s="1"/>
  <c r="AD57"/>
  <c r="AE57" s="1"/>
  <c r="AD61"/>
  <c r="AE61" s="1"/>
  <c r="AD66"/>
  <c r="AE66" s="1"/>
  <c r="AJ75"/>
  <c r="AD74"/>
  <c r="AE74" s="1"/>
  <c r="AD69"/>
  <c r="AE69" s="1"/>
  <c r="AD76"/>
  <c r="AE76" s="1"/>
  <c r="AD80"/>
  <c r="AE80" s="1"/>
  <c r="AD92"/>
  <c r="AE92" s="1"/>
  <c r="AE52"/>
  <c r="AE56"/>
  <c r="AF56"/>
  <c r="AJ56" s="1"/>
  <c r="AE54"/>
  <c r="AF54"/>
  <c r="AJ54" s="1"/>
  <c r="AE62"/>
  <c r="AF62"/>
  <c r="AJ62" s="1"/>
  <c r="AJ78"/>
  <c r="AE81"/>
  <c r="AF81"/>
  <c r="AJ81" s="1"/>
  <c r="AF83"/>
  <c r="AJ83" s="1"/>
  <c r="AF52"/>
  <c r="AJ82"/>
  <c r="AJ85"/>
  <c r="AJ60"/>
  <c r="AJ70"/>
  <c r="AJ91"/>
  <c r="A1671" i="11"/>
  <c r="A1637"/>
  <c r="A1603"/>
  <c r="A1569"/>
  <c r="A1535"/>
  <c r="A1501"/>
  <c r="A1467"/>
  <c r="A1433"/>
  <c r="A1399"/>
  <c r="A1365"/>
  <c r="A1331"/>
  <c r="A1297"/>
  <c r="A1263"/>
  <c r="A1229"/>
  <c r="A1195"/>
  <c r="A1161"/>
  <c r="A1127"/>
  <c r="A1093"/>
  <c r="A1059"/>
  <c r="A1025"/>
  <c r="A991"/>
  <c r="A957"/>
  <c r="A923"/>
  <c r="A889"/>
  <c r="A855"/>
  <c r="A821"/>
  <c r="A787"/>
  <c r="A753"/>
  <c r="A719"/>
  <c r="A685"/>
  <c r="A651"/>
  <c r="A617"/>
  <c r="A583"/>
  <c r="A549"/>
  <c r="A515"/>
  <c r="A481"/>
  <c r="A447"/>
  <c r="A413"/>
  <c r="A379"/>
  <c r="A345"/>
  <c r="A311"/>
  <c r="A277"/>
  <c r="A243"/>
  <c r="A209"/>
  <c r="A175"/>
  <c r="A141"/>
  <c r="A107"/>
  <c r="A73"/>
  <c r="A39"/>
  <c r="O93" i="3"/>
  <c r="T93"/>
  <c r="U93"/>
  <c r="AA93" s="1"/>
  <c r="AF93" s="1"/>
  <c r="V93"/>
  <c r="AB93" s="1"/>
  <c r="AC93"/>
  <c r="AH93" s="1"/>
  <c r="AU93"/>
  <c r="AV93"/>
  <c r="AZ93"/>
  <c r="AI87" l="1"/>
  <c r="AJ87" s="1"/>
  <c r="AK87" s="1"/>
  <c r="AI69"/>
  <c r="AJ69" s="1"/>
  <c r="AK89"/>
  <c r="AN89" s="1"/>
  <c r="AO72"/>
  <c r="AK90"/>
  <c r="AK88"/>
  <c r="AN88" s="1"/>
  <c r="AO88" s="1"/>
  <c r="AI66"/>
  <c r="AJ66" s="1"/>
  <c r="AK66" s="1"/>
  <c r="AI77"/>
  <c r="AJ77" s="1"/>
  <c r="AK77" s="1"/>
  <c r="AN77" s="1"/>
  <c r="AK86"/>
  <c r="AK69"/>
  <c r="AK91"/>
  <c r="AN91" s="1"/>
  <c r="AK70"/>
  <c r="AN70" s="1"/>
  <c r="AK60"/>
  <c r="AN60" s="1"/>
  <c r="AK85"/>
  <c r="AK83"/>
  <c r="AK62"/>
  <c r="AN62" s="1"/>
  <c r="AK54"/>
  <c r="AN54" s="1"/>
  <c r="AK56"/>
  <c r="AN56" s="1"/>
  <c r="AK75"/>
  <c r="AK71"/>
  <c r="AK84"/>
  <c r="AN84" s="1"/>
  <c r="AL67"/>
  <c r="AM67" s="1"/>
  <c r="AN67"/>
  <c r="AL63"/>
  <c r="AM63" s="1"/>
  <c r="AN63"/>
  <c r="AO63" s="1"/>
  <c r="AL51"/>
  <c r="AM51" s="1"/>
  <c r="AN51"/>
  <c r="AO51" s="1"/>
  <c r="AL59"/>
  <c r="AM59" s="1"/>
  <c r="AN59"/>
  <c r="AK82"/>
  <c r="AN82" s="1"/>
  <c r="AO82" s="1"/>
  <c r="AJ52"/>
  <c r="AK81"/>
  <c r="AN81" s="1"/>
  <c r="AO81" s="1"/>
  <c r="AK78"/>
  <c r="AI92"/>
  <c r="AJ92" s="1"/>
  <c r="AI80"/>
  <c r="AJ80" s="1"/>
  <c r="AI76"/>
  <c r="AJ76" s="1"/>
  <c r="AI74"/>
  <c r="AJ74" s="1"/>
  <c r="AI61"/>
  <c r="AJ61" s="1"/>
  <c r="AI57"/>
  <c r="AJ57" s="1"/>
  <c r="AI53"/>
  <c r="AJ53" s="1"/>
  <c r="AL65"/>
  <c r="AM65" s="1"/>
  <c r="AN65"/>
  <c r="AO65" s="1"/>
  <c r="AK68"/>
  <c r="AN68" s="1"/>
  <c r="AK79"/>
  <c r="AN79" s="1"/>
  <c r="AL73"/>
  <c r="AM73" s="1"/>
  <c r="AY73" s="1"/>
  <c r="AN73"/>
  <c r="AO73" s="1"/>
  <c r="AK55"/>
  <c r="AL72"/>
  <c r="AM72" s="1"/>
  <c r="AI64"/>
  <c r="AJ64" s="1"/>
  <c r="AO67"/>
  <c r="AI58"/>
  <c r="AJ58" s="1"/>
  <c r="AO59"/>
  <c r="AG93"/>
  <c r="W93"/>
  <c r="AD93" s="1"/>
  <c r="AI93" s="1"/>
  <c r="D1671" i="11"/>
  <c r="D1637"/>
  <c r="D1603"/>
  <c r="D1569"/>
  <c r="D1535"/>
  <c r="D1501"/>
  <c r="D1467"/>
  <c r="D1433"/>
  <c r="D1399"/>
  <c r="D1365"/>
  <c r="D1331"/>
  <c r="D1297"/>
  <c r="D1263"/>
  <c r="D1229"/>
  <c r="D1195"/>
  <c r="D1161"/>
  <c r="D1127"/>
  <c r="D1093"/>
  <c r="D1059"/>
  <c r="D1025"/>
  <c r="D991"/>
  <c r="D957"/>
  <c r="D923"/>
  <c r="D889"/>
  <c r="D855"/>
  <c r="D821"/>
  <c r="D787"/>
  <c r="D753"/>
  <c r="D719"/>
  <c r="D685"/>
  <c r="D651"/>
  <c r="D617"/>
  <c r="D583"/>
  <c r="D549"/>
  <c r="D515"/>
  <c r="D481"/>
  <c r="D447"/>
  <c r="D413"/>
  <c r="D379"/>
  <c r="D345"/>
  <c r="D311"/>
  <c r="D277"/>
  <c r="D243"/>
  <c r="D209"/>
  <c r="D175"/>
  <c r="D141"/>
  <c r="D107"/>
  <c r="D73"/>
  <c r="D39"/>
  <c r="C16"/>
  <c r="AL89" i="3" l="1"/>
  <c r="AN86"/>
  <c r="AO86" s="1"/>
  <c r="AN66"/>
  <c r="AO89"/>
  <c r="AL86"/>
  <c r="AM86" s="1"/>
  <c r="AL88"/>
  <c r="AL90"/>
  <c r="AM90" s="1"/>
  <c r="AY90" s="1"/>
  <c r="AN90"/>
  <c r="AO90" s="1"/>
  <c r="AL87"/>
  <c r="AM87" s="1"/>
  <c r="AY87" s="1"/>
  <c r="AN87"/>
  <c r="AO87" s="1"/>
  <c r="AK64"/>
  <c r="AN64" s="1"/>
  <c r="AO64" s="1"/>
  <c r="AL55"/>
  <c r="AN55"/>
  <c r="AL79"/>
  <c r="AL68"/>
  <c r="AM68" s="1"/>
  <c r="AK53"/>
  <c r="AK61"/>
  <c r="AK76"/>
  <c r="AK92"/>
  <c r="AL81"/>
  <c r="AL82"/>
  <c r="AM82" s="1"/>
  <c r="AL84"/>
  <c r="AL71"/>
  <c r="AM71" s="1"/>
  <c r="AN71"/>
  <c r="AL75"/>
  <c r="AM75" s="1"/>
  <c r="AL56"/>
  <c r="AL54"/>
  <c r="AM54" s="1"/>
  <c r="AL62"/>
  <c r="AL83"/>
  <c r="AM83" s="1"/>
  <c r="AN83"/>
  <c r="AL77"/>
  <c r="AM77" s="1"/>
  <c r="AL85"/>
  <c r="AM85" s="1"/>
  <c r="AN85"/>
  <c r="AL60"/>
  <c r="AL70"/>
  <c r="AM70" s="1"/>
  <c r="AL91"/>
  <c r="AL69"/>
  <c r="AM69" s="1"/>
  <c r="AN69"/>
  <c r="AM66"/>
  <c r="AL66"/>
  <c r="AK58"/>
  <c r="AN58" s="1"/>
  <c r="AO58" s="1"/>
  <c r="AP72"/>
  <c r="AY72"/>
  <c r="AO55"/>
  <c r="AP73"/>
  <c r="AO79"/>
  <c r="AO68"/>
  <c r="AP65"/>
  <c r="AY65"/>
  <c r="AK57"/>
  <c r="AK74"/>
  <c r="AN74" s="1"/>
  <c r="AO74" s="1"/>
  <c r="AK80"/>
  <c r="AL78"/>
  <c r="AN78"/>
  <c r="AO78" s="1"/>
  <c r="AK52"/>
  <c r="AN52" s="1"/>
  <c r="AO52" s="1"/>
  <c r="AP59"/>
  <c r="AY59"/>
  <c r="AP51"/>
  <c r="AY51"/>
  <c r="AP63"/>
  <c r="AY63"/>
  <c r="AP67"/>
  <c r="AY67"/>
  <c r="AO84"/>
  <c r="AO71"/>
  <c r="AN75"/>
  <c r="AO75" s="1"/>
  <c r="AO56"/>
  <c r="AO54"/>
  <c r="AO62"/>
  <c r="AO83"/>
  <c r="AO77"/>
  <c r="AO85"/>
  <c r="AO60"/>
  <c r="AO70"/>
  <c r="AO91"/>
  <c r="AO69"/>
  <c r="AO66"/>
  <c r="AE93"/>
  <c r="AJ93"/>
  <c r="F57" i="11" s="1"/>
  <c r="A12"/>
  <c r="A11"/>
  <c r="A12" i="4"/>
  <c r="AY83" i="3" l="1"/>
  <c r="AY71"/>
  <c r="AM88"/>
  <c r="AP88" s="1"/>
  <c r="AM89"/>
  <c r="AY89" s="1"/>
  <c r="AY88"/>
  <c r="AP87"/>
  <c r="AP90"/>
  <c r="AP86"/>
  <c r="AY86"/>
  <c r="BI67"/>
  <c r="BG67"/>
  <c r="BE67"/>
  <c r="BH67"/>
  <c r="BF67"/>
  <c r="BC67"/>
  <c r="BI63"/>
  <c r="BG63"/>
  <c r="BE63"/>
  <c r="BH63"/>
  <c r="BC63"/>
  <c r="BF63"/>
  <c r="BI51"/>
  <c r="BG51"/>
  <c r="BE51"/>
  <c r="BH51"/>
  <c r="BC51"/>
  <c r="BF51"/>
  <c r="BI59"/>
  <c r="BG59"/>
  <c r="BE59"/>
  <c r="BH59"/>
  <c r="BF59"/>
  <c r="BC59"/>
  <c r="BI65"/>
  <c r="BG65"/>
  <c r="BE65"/>
  <c r="BH65"/>
  <c r="BC65"/>
  <c r="BF65"/>
  <c r="BH72"/>
  <c r="BF72"/>
  <c r="BC72"/>
  <c r="BI72"/>
  <c r="BG72"/>
  <c r="BE72"/>
  <c r="AP85"/>
  <c r="AL52"/>
  <c r="AM78"/>
  <c r="AP78" s="1"/>
  <c r="AL80"/>
  <c r="AN80"/>
  <c r="AO80" s="1"/>
  <c r="AL74"/>
  <c r="AM57"/>
  <c r="AL57"/>
  <c r="AN57"/>
  <c r="AO57" s="1"/>
  <c r="BI73"/>
  <c r="BG73"/>
  <c r="BE73"/>
  <c r="BH73"/>
  <c r="BF73"/>
  <c r="BC73"/>
  <c r="AL58"/>
  <c r="AM58" s="1"/>
  <c r="AP66"/>
  <c r="AY66"/>
  <c r="AP69"/>
  <c r="AY69"/>
  <c r="AM91"/>
  <c r="AP91" s="1"/>
  <c r="AP70"/>
  <c r="AY70"/>
  <c r="AM60"/>
  <c r="AP60" s="1"/>
  <c r="AY85"/>
  <c r="AP77"/>
  <c r="AY77"/>
  <c r="AP83"/>
  <c r="AM62"/>
  <c r="AY62" s="1"/>
  <c r="AP54"/>
  <c r="AY54"/>
  <c r="AM56"/>
  <c r="AY56" s="1"/>
  <c r="AP75"/>
  <c r="AY75"/>
  <c r="AP71"/>
  <c r="AM84"/>
  <c r="AY84" s="1"/>
  <c r="AP82"/>
  <c r="AY82"/>
  <c r="AM81"/>
  <c r="AY81" s="1"/>
  <c r="AL92"/>
  <c r="AM92" s="1"/>
  <c r="AY92" s="1"/>
  <c r="AN92"/>
  <c r="AO92" s="1"/>
  <c r="AL76"/>
  <c r="AM76" s="1"/>
  <c r="AN76"/>
  <c r="AO76" s="1"/>
  <c r="AL61"/>
  <c r="AM61" s="1"/>
  <c r="AN61"/>
  <c r="AO61" s="1"/>
  <c r="AL53"/>
  <c r="AN53"/>
  <c r="AO53" s="1"/>
  <c r="AP68"/>
  <c r="AY68"/>
  <c r="AM79"/>
  <c r="AY79" s="1"/>
  <c r="AM55"/>
  <c r="AY55" s="1"/>
  <c r="AL64"/>
  <c r="AM64" s="1"/>
  <c r="AK93"/>
  <c r="J1673" i="11"/>
  <c r="J1671"/>
  <c r="J1657"/>
  <c r="J1655"/>
  <c r="J1653"/>
  <c r="J1651"/>
  <c r="J1649"/>
  <c r="J1647"/>
  <c r="J1645"/>
  <c r="J1643"/>
  <c r="J1641"/>
  <c r="J1672"/>
  <c r="J1670"/>
  <c r="J1662"/>
  <c r="J1656"/>
  <c r="J1654"/>
  <c r="J1652"/>
  <c r="J1650"/>
  <c r="J1648"/>
  <c r="J1646"/>
  <c r="J1644"/>
  <c r="J1642"/>
  <c r="J1640"/>
  <c r="D5"/>
  <c r="D2"/>
  <c r="A8"/>
  <c r="U4" i="3"/>
  <c r="O4"/>
  <c r="T4"/>
  <c r="V4"/>
  <c r="AB4" s="1"/>
  <c r="AC4"/>
  <c r="AH4" s="1"/>
  <c r="AU4"/>
  <c r="AV4"/>
  <c r="AZ4"/>
  <c r="A5"/>
  <c r="AA4" l="1"/>
  <c r="AF4" s="1"/>
  <c r="BF88"/>
  <c r="BI88"/>
  <c r="BE88"/>
  <c r="BH88"/>
  <c r="BC88"/>
  <c r="BG88"/>
  <c r="AP89"/>
  <c r="BH86"/>
  <c r="BF86"/>
  <c r="BC86"/>
  <c r="BI86"/>
  <c r="BG86"/>
  <c r="BE86"/>
  <c r="BI87"/>
  <c r="BG87"/>
  <c r="BE87"/>
  <c r="BH87"/>
  <c r="BF87"/>
  <c r="BC87"/>
  <c r="BI90"/>
  <c r="BG90"/>
  <c r="BE90"/>
  <c r="BH90"/>
  <c r="BF90"/>
  <c r="BC90"/>
  <c r="BH91"/>
  <c r="BF91"/>
  <c r="BC91"/>
  <c r="BI91"/>
  <c r="BG91"/>
  <c r="BE91"/>
  <c r="BH60"/>
  <c r="BF60"/>
  <c r="BC60"/>
  <c r="BI60"/>
  <c r="BG60"/>
  <c r="BE60"/>
  <c r="BI78"/>
  <c r="BG78"/>
  <c r="BE78"/>
  <c r="BH78"/>
  <c r="BF78"/>
  <c r="BC78"/>
  <c r="BH82"/>
  <c r="BF82"/>
  <c r="BC82"/>
  <c r="BI82"/>
  <c r="BG82"/>
  <c r="BE82"/>
  <c r="BI71"/>
  <c r="BG71"/>
  <c r="BE71"/>
  <c r="BH71"/>
  <c r="BF71"/>
  <c r="BC71"/>
  <c r="BH75"/>
  <c r="BF75"/>
  <c r="BC75"/>
  <c r="BI75"/>
  <c r="BG75"/>
  <c r="BE75"/>
  <c r="BI69"/>
  <c r="BG69"/>
  <c r="BE69"/>
  <c r="BH69"/>
  <c r="BF69"/>
  <c r="BC69"/>
  <c r="BH66"/>
  <c r="BF66"/>
  <c r="BC66"/>
  <c r="BG66"/>
  <c r="BI66"/>
  <c r="BE66"/>
  <c r="AP55"/>
  <c r="AP79"/>
  <c r="AP81"/>
  <c r="AP84"/>
  <c r="AP56"/>
  <c r="AP62"/>
  <c r="AY60"/>
  <c r="AY91"/>
  <c r="AY78"/>
  <c r="AP64"/>
  <c r="AY64"/>
  <c r="BH68"/>
  <c r="BF68"/>
  <c r="BC68"/>
  <c r="BI68"/>
  <c r="BG68"/>
  <c r="BE68"/>
  <c r="AM53"/>
  <c r="AY53" s="1"/>
  <c r="AP61"/>
  <c r="AY61"/>
  <c r="AP76"/>
  <c r="AY76"/>
  <c r="AP92"/>
  <c r="BH54"/>
  <c r="BF54"/>
  <c r="BC54"/>
  <c r="BI54"/>
  <c r="BG54"/>
  <c r="BE54"/>
  <c r="BI83"/>
  <c r="BG83"/>
  <c r="BE83"/>
  <c r="BH83"/>
  <c r="BF83"/>
  <c r="BC83"/>
  <c r="BH77"/>
  <c r="BF77"/>
  <c r="BC77"/>
  <c r="BI77"/>
  <c r="BG77"/>
  <c r="BE77"/>
  <c r="BH70"/>
  <c r="BF70"/>
  <c r="BC70"/>
  <c r="BI70"/>
  <c r="BG70"/>
  <c r="BE70"/>
  <c r="AP58"/>
  <c r="AY58"/>
  <c r="AP57"/>
  <c r="AY57"/>
  <c r="AM74"/>
  <c r="AP74" s="1"/>
  <c r="AM80"/>
  <c r="AP80" s="1"/>
  <c r="AM52"/>
  <c r="AP52" s="1"/>
  <c r="BI85"/>
  <c r="BG85"/>
  <c r="BE85"/>
  <c r="BH85"/>
  <c r="BF85"/>
  <c r="BC85"/>
  <c r="AG4"/>
  <c r="AD4"/>
  <c r="AE4" s="1"/>
  <c r="BH89" l="1"/>
  <c r="BF89"/>
  <c r="BC89"/>
  <c r="BI89"/>
  <c r="BG89"/>
  <c r="BE89"/>
  <c r="BH52"/>
  <c r="BF52"/>
  <c r="BC52"/>
  <c r="BG52"/>
  <c r="BI52"/>
  <c r="BE52"/>
  <c r="BH74"/>
  <c r="BF74"/>
  <c r="BC74"/>
  <c r="BI74"/>
  <c r="BG74"/>
  <c r="BE74"/>
  <c r="BI80"/>
  <c r="BG80"/>
  <c r="BE80"/>
  <c r="BH80"/>
  <c r="BF80"/>
  <c r="BC80"/>
  <c r="BI92"/>
  <c r="BG92"/>
  <c r="BE92"/>
  <c r="BH92"/>
  <c r="BF92"/>
  <c r="BC92"/>
  <c r="BI76"/>
  <c r="BG76"/>
  <c r="BE76"/>
  <c r="BH76"/>
  <c r="BF76"/>
  <c r="BC76"/>
  <c r="BI61"/>
  <c r="BG61"/>
  <c r="BE61"/>
  <c r="BH61"/>
  <c r="BF61"/>
  <c r="BC61"/>
  <c r="AP53"/>
  <c r="BH64"/>
  <c r="BF64"/>
  <c r="BC64"/>
  <c r="BG64"/>
  <c r="BI64"/>
  <c r="BE64"/>
  <c r="BH62"/>
  <c r="BF62"/>
  <c r="BC62"/>
  <c r="BI62"/>
  <c r="BG62"/>
  <c r="BE62"/>
  <c r="BH84"/>
  <c r="BF84"/>
  <c r="BC84"/>
  <c r="BI84"/>
  <c r="BG84"/>
  <c r="BE84"/>
  <c r="BH79"/>
  <c r="BF79"/>
  <c r="BC79"/>
  <c r="BI79"/>
  <c r="BG79"/>
  <c r="BE79"/>
  <c r="AY52"/>
  <c r="AY80"/>
  <c r="AY74"/>
  <c r="BI57"/>
  <c r="BG57"/>
  <c r="BE57"/>
  <c r="BH57"/>
  <c r="BF57"/>
  <c r="BC57"/>
  <c r="BH58"/>
  <c r="BF58"/>
  <c r="BC58"/>
  <c r="BI58"/>
  <c r="BG58"/>
  <c r="BE58"/>
  <c r="BH56"/>
  <c r="BF56"/>
  <c r="BC56"/>
  <c r="BI56"/>
  <c r="BG56"/>
  <c r="BE56"/>
  <c r="BI81"/>
  <c r="BG81"/>
  <c r="BE81"/>
  <c r="BH81"/>
  <c r="BF81"/>
  <c r="BC81"/>
  <c r="BI55"/>
  <c r="BG55"/>
  <c r="BE55"/>
  <c r="BH55"/>
  <c r="BF55"/>
  <c r="BC55"/>
  <c r="AI4"/>
  <c r="AJ4" s="1"/>
  <c r="AK4" s="1"/>
  <c r="BI53" l="1"/>
  <c r="BG53"/>
  <c r="BE53"/>
  <c r="BH53"/>
  <c r="BF53"/>
  <c r="BC53"/>
  <c r="F10" i="11"/>
  <c r="J75" l="1"/>
  <c r="J73"/>
  <c r="J59"/>
  <c r="J57"/>
  <c r="J55"/>
  <c r="J53"/>
  <c r="J51"/>
  <c r="J49"/>
  <c r="J47"/>
  <c r="J45"/>
  <c r="J43"/>
  <c r="J74"/>
  <c r="J72"/>
  <c r="J64"/>
  <c r="J58"/>
  <c r="J56"/>
  <c r="J54"/>
  <c r="J52"/>
  <c r="J50"/>
  <c r="J48"/>
  <c r="J46"/>
  <c r="J44"/>
  <c r="J42"/>
  <c r="AL88" i="13" l="1"/>
  <c r="AL87"/>
  <c r="AL86"/>
  <c r="AL85"/>
  <c r="AL84"/>
  <c r="AM83"/>
  <c r="AM82"/>
  <c r="AM81"/>
  <c r="AM80"/>
  <c r="AM79"/>
  <c r="AO74"/>
  <c r="AN74"/>
  <c r="AM74"/>
  <c r="AL74"/>
  <c r="AO73"/>
  <c r="AN73"/>
  <c r="AM73"/>
  <c r="AL73"/>
  <c r="AO72"/>
  <c r="AN72"/>
  <c r="AM72"/>
  <c r="AL72"/>
  <c r="AO71"/>
  <c r="AN71"/>
  <c r="AM71"/>
  <c r="AL71"/>
  <c r="AO70"/>
  <c r="AN70"/>
  <c r="AM70"/>
  <c r="AL70"/>
  <c r="AO69"/>
  <c r="AN69"/>
  <c r="AM69"/>
  <c r="AL69"/>
  <c r="AO68"/>
  <c r="AN68"/>
  <c r="AM68"/>
  <c r="AL68"/>
  <c r="AO67"/>
  <c r="AN67"/>
  <c r="AM67"/>
  <c r="AL67"/>
  <c r="AO66"/>
  <c r="AN66"/>
  <c r="AM66"/>
  <c r="AO65"/>
  <c r="AN65"/>
  <c r="AM65"/>
  <c r="AL65"/>
  <c r="AO64"/>
  <c r="AN64"/>
  <c r="AM64"/>
  <c r="AL64"/>
  <c r="AO63"/>
  <c r="AN63"/>
  <c r="AM63"/>
  <c r="AL63"/>
  <c r="AO62"/>
  <c r="AN62"/>
  <c r="AO61"/>
  <c r="AN61"/>
  <c r="AM61"/>
  <c r="AO60"/>
  <c r="AN60"/>
  <c r="AM60"/>
  <c r="AO59"/>
  <c r="AN59"/>
  <c r="AM59"/>
  <c r="AO58"/>
  <c r="AN58"/>
  <c r="AM58"/>
  <c r="AO57"/>
  <c r="AO56"/>
  <c r="AN56"/>
  <c r="AO55"/>
  <c r="AN55"/>
  <c r="AO54"/>
  <c r="AN54"/>
  <c r="AO53"/>
  <c r="AN53"/>
  <c r="AE88"/>
  <c r="AE87"/>
  <c r="AE86"/>
  <c r="AE85"/>
  <c r="AE84"/>
  <c r="AF83"/>
  <c r="AF82"/>
  <c r="AF81"/>
  <c r="AF80"/>
  <c r="AF79"/>
  <c r="AH74"/>
  <c r="AG74"/>
  <c r="AF74"/>
  <c r="AE74"/>
  <c r="AH73"/>
  <c r="AG73"/>
  <c r="AF73"/>
  <c r="AE73"/>
  <c r="AH72"/>
  <c r="AG72"/>
  <c r="AF72"/>
  <c r="AE72"/>
  <c r="AH71"/>
  <c r="AG71"/>
  <c r="AF71"/>
  <c r="AE71"/>
  <c r="AH70"/>
  <c r="AG70"/>
  <c r="AF70"/>
  <c r="AE70"/>
  <c r="AH69"/>
  <c r="AG69"/>
  <c r="AF69"/>
  <c r="AE69"/>
  <c r="AH68"/>
  <c r="AG68"/>
  <c r="AF68"/>
  <c r="AE68"/>
  <c r="AH67"/>
  <c r="AG67"/>
  <c r="AF67"/>
  <c r="AE67"/>
  <c r="AH66"/>
  <c r="AG66"/>
  <c r="AF66"/>
  <c r="AH65"/>
  <c r="AG65"/>
  <c r="AF65"/>
  <c r="AE65"/>
  <c r="AH64"/>
  <c r="AG64"/>
  <c r="AF64"/>
  <c r="AE64"/>
  <c r="AH63"/>
  <c r="AG63"/>
  <c r="AF63"/>
  <c r="AE63"/>
  <c r="AH62"/>
  <c r="AG62"/>
  <c r="AH61"/>
  <c r="AG61"/>
  <c r="AF61"/>
  <c r="AH60"/>
  <c r="AG60"/>
  <c r="AF60"/>
  <c r="AH59"/>
  <c r="AG59"/>
  <c r="AF59"/>
  <c r="AH58"/>
  <c r="AG58"/>
  <c r="AF58"/>
  <c r="AH57"/>
  <c r="AH56"/>
  <c r="AG56"/>
  <c r="AH55"/>
  <c r="AG55"/>
  <c r="AH54"/>
  <c r="AG54"/>
  <c r="AH53"/>
  <c r="AG53"/>
  <c r="BB103" i="3" l="1"/>
  <c r="B1665" i="11" l="1"/>
  <c r="B1631"/>
  <c r="B1597"/>
  <c r="B1563"/>
  <c r="B1529"/>
  <c r="B1495"/>
  <c r="B1461"/>
  <c r="B1427"/>
  <c r="B1393"/>
  <c r="B1359"/>
  <c r="B1325"/>
  <c r="B1291"/>
  <c r="B1257"/>
  <c r="B1223"/>
  <c r="B1189"/>
  <c r="B1155"/>
  <c r="B1121"/>
  <c r="B1087"/>
  <c r="B1053"/>
  <c r="B1019"/>
  <c r="B985"/>
  <c r="B951"/>
  <c r="B917"/>
  <c r="B883"/>
  <c r="B849"/>
  <c r="B815"/>
  <c r="B781"/>
  <c r="B747"/>
  <c r="B713"/>
  <c r="B679"/>
  <c r="B645"/>
  <c r="B611"/>
  <c r="B577"/>
  <c r="B543"/>
  <c r="B509"/>
  <c r="B475"/>
  <c r="B441"/>
  <c r="B407"/>
  <c r="B373"/>
  <c r="B339"/>
  <c r="B305"/>
  <c r="B271"/>
  <c r="B237"/>
  <c r="B203"/>
  <c r="B169"/>
  <c r="B135"/>
  <c r="B101"/>
  <c r="B67"/>
  <c r="B33"/>
  <c r="B1668"/>
  <c r="B1634"/>
  <c r="B1600"/>
  <c r="B1566"/>
  <c r="B1532"/>
  <c r="B1498"/>
  <c r="B1464"/>
  <c r="B1430"/>
  <c r="B1396"/>
  <c r="B1362"/>
  <c r="B1328"/>
  <c r="B1294"/>
  <c r="B1260"/>
  <c r="B1226"/>
  <c r="B1192"/>
  <c r="B1158"/>
  <c r="B1124"/>
  <c r="B1090"/>
  <c r="B1056"/>
  <c r="B1022"/>
  <c r="B988"/>
  <c r="B954"/>
  <c r="B920"/>
  <c r="B886"/>
  <c r="B852"/>
  <c r="B818"/>
  <c r="B784"/>
  <c r="B750"/>
  <c r="B716"/>
  <c r="B682"/>
  <c r="B648"/>
  <c r="B614"/>
  <c r="B580"/>
  <c r="B546"/>
  <c r="B512"/>
  <c r="B478"/>
  <c r="B444"/>
  <c r="B410"/>
  <c r="B376"/>
  <c r="B342"/>
  <c r="B308"/>
  <c r="B274"/>
  <c r="B240"/>
  <c r="B206"/>
  <c r="B172"/>
  <c r="B138"/>
  <c r="B104"/>
  <c r="B70"/>
  <c r="B36"/>
  <c r="B1663"/>
  <c r="B1629"/>
  <c r="B1595"/>
  <c r="B1561"/>
  <c r="B1527"/>
  <c r="B1493"/>
  <c r="B1459"/>
  <c r="B1425"/>
  <c r="B1391"/>
  <c r="B1357"/>
  <c r="B1323"/>
  <c r="B1289"/>
  <c r="B1255"/>
  <c r="B1221"/>
  <c r="B1187"/>
  <c r="B1153"/>
  <c r="B1119"/>
  <c r="B1085"/>
  <c r="B1051"/>
  <c r="B1017"/>
  <c r="B983"/>
  <c r="B949"/>
  <c r="B915"/>
  <c r="B881"/>
  <c r="B847"/>
  <c r="B813"/>
  <c r="B779"/>
  <c r="B745"/>
  <c r="B711"/>
  <c r="B677"/>
  <c r="B643"/>
  <c r="B609"/>
  <c r="B575"/>
  <c r="B541"/>
  <c r="B507"/>
  <c r="B473"/>
  <c r="B439"/>
  <c r="B405"/>
  <c r="B371"/>
  <c r="B337"/>
  <c r="B303"/>
  <c r="B269"/>
  <c r="B235"/>
  <c r="B201"/>
  <c r="B167"/>
  <c r="B133"/>
  <c r="B99"/>
  <c r="B65"/>
  <c r="B31"/>
  <c r="B1666"/>
  <c r="B1632"/>
  <c r="B1598"/>
  <c r="B1564"/>
  <c r="B1530"/>
  <c r="B1496"/>
  <c r="B1462"/>
  <c r="B1428"/>
  <c r="B1394"/>
  <c r="B1360"/>
  <c r="B1326"/>
  <c r="B1292"/>
  <c r="B1258"/>
  <c r="B1224"/>
  <c r="B1190"/>
  <c r="B1156"/>
  <c r="B1122"/>
  <c r="B1088"/>
  <c r="B1054"/>
  <c r="B1020"/>
  <c r="B986"/>
  <c r="B952"/>
  <c r="B918"/>
  <c r="B884"/>
  <c r="B850"/>
  <c r="B816"/>
  <c r="B782"/>
  <c r="B748"/>
  <c r="B714"/>
  <c r="B680"/>
  <c r="B646"/>
  <c r="B612"/>
  <c r="B578"/>
  <c r="B544"/>
  <c r="B510"/>
  <c r="B476"/>
  <c r="B442"/>
  <c r="B408"/>
  <c r="B374"/>
  <c r="B340"/>
  <c r="B306"/>
  <c r="B272"/>
  <c r="B238"/>
  <c r="B204"/>
  <c r="B170"/>
  <c r="B136"/>
  <c r="B102"/>
  <c r="B68"/>
  <c r="B34"/>
  <c r="B1660"/>
  <c r="B1626"/>
  <c r="B1592"/>
  <c r="B1558"/>
  <c r="B1524"/>
  <c r="B1490"/>
  <c r="B1456"/>
  <c r="B1422"/>
  <c r="B1388"/>
  <c r="B1354"/>
  <c r="B1320"/>
  <c r="B1286"/>
  <c r="B1252"/>
  <c r="B1218"/>
  <c r="B1184"/>
  <c r="B1150"/>
  <c r="B1116"/>
  <c r="B1082"/>
  <c r="B1048"/>
  <c r="B1014"/>
  <c r="B980"/>
  <c r="B946"/>
  <c r="B912"/>
  <c r="B878"/>
  <c r="B844"/>
  <c r="B810"/>
  <c r="B776"/>
  <c r="B742"/>
  <c r="B708"/>
  <c r="B674"/>
  <c r="B640"/>
  <c r="B606"/>
  <c r="B572"/>
  <c r="B538"/>
  <c r="B504"/>
  <c r="B470"/>
  <c r="B436"/>
  <c r="B402"/>
  <c r="B368"/>
  <c r="B334"/>
  <c r="B300"/>
  <c r="B266"/>
  <c r="B232"/>
  <c r="B198"/>
  <c r="B164"/>
  <c r="B130"/>
  <c r="B96"/>
  <c r="B62"/>
  <c r="B28"/>
  <c r="B1661"/>
  <c r="B1627"/>
  <c r="B1593"/>
  <c r="B1559"/>
  <c r="B1525"/>
  <c r="B1491"/>
  <c r="B1457"/>
  <c r="B1423"/>
  <c r="B1389"/>
  <c r="B1355"/>
  <c r="B1321"/>
  <c r="B1287"/>
  <c r="B1253"/>
  <c r="B1219"/>
  <c r="B1185"/>
  <c r="B1151"/>
  <c r="B1117"/>
  <c r="B1083"/>
  <c r="B1049"/>
  <c r="B1015"/>
  <c r="B981"/>
  <c r="B947"/>
  <c r="B913"/>
  <c r="B879"/>
  <c r="B845"/>
  <c r="B811"/>
  <c r="B777"/>
  <c r="B743"/>
  <c r="B709"/>
  <c r="B675"/>
  <c r="B641"/>
  <c r="B607"/>
  <c r="B573"/>
  <c r="B539"/>
  <c r="B505"/>
  <c r="B471"/>
  <c r="B437"/>
  <c r="B403"/>
  <c r="B369"/>
  <c r="B335"/>
  <c r="B301"/>
  <c r="B267"/>
  <c r="B233"/>
  <c r="B199"/>
  <c r="B165"/>
  <c r="B131"/>
  <c r="B97"/>
  <c r="B63"/>
  <c r="B29"/>
  <c r="B40" i="4"/>
  <c r="B37"/>
  <c r="B38"/>
  <c r="B35"/>
  <c r="B33"/>
  <c r="B32"/>
  <c r="AZ33" i="3" l="1"/>
  <c r="AV33"/>
  <c r="AU33"/>
  <c r="AC33"/>
  <c r="AH33" s="1"/>
  <c r="V33"/>
  <c r="AB33" s="1"/>
  <c r="U33"/>
  <c r="T33"/>
  <c r="O33"/>
  <c r="AZ32"/>
  <c r="AV32"/>
  <c r="AU32"/>
  <c r="AC32"/>
  <c r="AH32" s="1"/>
  <c r="V32"/>
  <c r="AB32" s="1"/>
  <c r="U32"/>
  <c r="T32"/>
  <c r="O32"/>
  <c r="AZ31"/>
  <c r="AV31"/>
  <c r="AU31"/>
  <c r="AC31"/>
  <c r="AH31" s="1"/>
  <c r="V31"/>
  <c r="U31"/>
  <c r="T31"/>
  <c r="O31"/>
  <c r="AZ30"/>
  <c r="AV30"/>
  <c r="AU30"/>
  <c r="AC30"/>
  <c r="AH30" s="1"/>
  <c r="V30"/>
  <c r="AB30" s="1"/>
  <c r="U30"/>
  <c r="T30"/>
  <c r="O30"/>
  <c r="AZ29"/>
  <c r="AV29"/>
  <c r="AU29"/>
  <c r="AC29"/>
  <c r="AH29" s="1"/>
  <c r="V29"/>
  <c r="AB29" s="1"/>
  <c r="U29"/>
  <c r="T29"/>
  <c r="O29"/>
  <c r="AZ28"/>
  <c r="AV28"/>
  <c r="AU28"/>
  <c r="AC28"/>
  <c r="AH28" s="1"/>
  <c r="V28"/>
  <c r="AB28" s="1"/>
  <c r="U28"/>
  <c r="T28"/>
  <c r="O28"/>
  <c r="AZ27"/>
  <c r="AV27"/>
  <c r="AU27"/>
  <c r="AC27"/>
  <c r="AH27" s="1"/>
  <c r="V27"/>
  <c r="U27"/>
  <c r="T27"/>
  <c r="O27"/>
  <c r="AZ26"/>
  <c r="AV26"/>
  <c r="AU26"/>
  <c r="AC26"/>
  <c r="AH26" s="1"/>
  <c r="V26"/>
  <c r="U26"/>
  <c r="T26"/>
  <c r="O26"/>
  <c r="AZ25"/>
  <c r="AV25"/>
  <c r="AU25"/>
  <c r="AC25"/>
  <c r="AH25" s="1"/>
  <c r="V25"/>
  <c r="U25"/>
  <c r="T25"/>
  <c r="O25"/>
  <c r="AZ24"/>
  <c r="AV24"/>
  <c r="AU24"/>
  <c r="AC24"/>
  <c r="AH24" s="1"/>
  <c r="V24"/>
  <c r="U24"/>
  <c r="T24"/>
  <c r="O24"/>
  <c r="AZ23"/>
  <c r="AV23"/>
  <c r="AU23"/>
  <c r="AC23"/>
  <c r="AH23" s="1"/>
  <c r="V23"/>
  <c r="U23"/>
  <c r="T23"/>
  <c r="O23"/>
  <c r="AZ22"/>
  <c r="AV22"/>
  <c r="AU22"/>
  <c r="AC22"/>
  <c r="AH22" s="1"/>
  <c r="V22"/>
  <c r="AB22" s="1"/>
  <c r="U22"/>
  <c r="T22"/>
  <c r="O22"/>
  <c r="AZ21"/>
  <c r="AV21"/>
  <c r="AU21"/>
  <c r="AC21"/>
  <c r="AH21" s="1"/>
  <c r="V21"/>
  <c r="AB21" s="1"/>
  <c r="U21"/>
  <c r="T21"/>
  <c r="O21"/>
  <c r="AZ20"/>
  <c r="AV20"/>
  <c r="AU20"/>
  <c r="AC20"/>
  <c r="AH20" s="1"/>
  <c r="V20"/>
  <c r="U20"/>
  <c r="T20"/>
  <c r="O20"/>
  <c r="AZ19"/>
  <c r="AV19"/>
  <c r="AU19"/>
  <c r="AC19"/>
  <c r="AH19" s="1"/>
  <c r="V19"/>
  <c r="AB19" s="1"/>
  <c r="U19"/>
  <c r="T19"/>
  <c r="O19"/>
  <c r="AZ18"/>
  <c r="AV18"/>
  <c r="AU18"/>
  <c r="AC18"/>
  <c r="AH18" s="1"/>
  <c r="V18"/>
  <c r="AB18" s="1"/>
  <c r="U18"/>
  <c r="T18"/>
  <c r="O18"/>
  <c r="AZ17"/>
  <c r="AV17"/>
  <c r="AU17"/>
  <c r="AC17"/>
  <c r="AH17" s="1"/>
  <c r="V17"/>
  <c r="AB17" s="1"/>
  <c r="U17"/>
  <c r="T17"/>
  <c r="O17"/>
  <c r="AZ16"/>
  <c r="AV16"/>
  <c r="AU16"/>
  <c r="AC16"/>
  <c r="AH16" s="1"/>
  <c r="V16"/>
  <c r="AB16" s="1"/>
  <c r="U16"/>
  <c r="T16"/>
  <c r="O16"/>
  <c r="AZ15"/>
  <c r="AV15"/>
  <c r="AU15"/>
  <c r="AC15"/>
  <c r="AH15" s="1"/>
  <c r="V15"/>
  <c r="AB15" s="1"/>
  <c r="U15"/>
  <c r="T15"/>
  <c r="O15"/>
  <c r="AZ14"/>
  <c r="AV14"/>
  <c r="AU14"/>
  <c r="AC14"/>
  <c r="AH14" s="1"/>
  <c r="V14"/>
  <c r="AB14" s="1"/>
  <c r="U14"/>
  <c r="T14"/>
  <c r="O14"/>
  <c r="AZ13"/>
  <c r="AV13"/>
  <c r="AU13"/>
  <c r="AC13"/>
  <c r="AH13" s="1"/>
  <c r="V13"/>
  <c r="AB13" s="1"/>
  <c r="U13"/>
  <c r="T13"/>
  <c r="O13"/>
  <c r="AZ12"/>
  <c r="AV12"/>
  <c r="AU12"/>
  <c r="AC12"/>
  <c r="AH12" s="1"/>
  <c r="V12"/>
  <c r="U12"/>
  <c r="T12"/>
  <c r="O12"/>
  <c r="AZ11"/>
  <c r="AV11"/>
  <c r="AU11"/>
  <c r="AC11"/>
  <c r="AH11" s="1"/>
  <c r="V11"/>
  <c r="U11"/>
  <c r="T11"/>
  <c r="O11"/>
  <c r="AZ10"/>
  <c r="AV10"/>
  <c r="AU10"/>
  <c r="AC10"/>
  <c r="AH10" s="1"/>
  <c r="V10"/>
  <c r="U10"/>
  <c r="T10"/>
  <c r="O10"/>
  <c r="AZ9"/>
  <c r="AV9"/>
  <c r="AU9"/>
  <c r="AC9"/>
  <c r="AH9" s="1"/>
  <c r="V9"/>
  <c r="U9"/>
  <c r="T9"/>
  <c r="O9"/>
  <c r="AZ8"/>
  <c r="AV8"/>
  <c r="AU8"/>
  <c r="AC8"/>
  <c r="AH8" s="1"/>
  <c r="V8"/>
  <c r="U8"/>
  <c r="T8"/>
  <c r="O8"/>
  <c r="AZ7"/>
  <c r="AV7"/>
  <c r="AU7"/>
  <c r="AC7"/>
  <c r="AH7" s="1"/>
  <c r="V7"/>
  <c r="U7"/>
  <c r="T7"/>
  <c r="O7"/>
  <c r="AZ6"/>
  <c r="AV6"/>
  <c r="AU6"/>
  <c r="AC6"/>
  <c r="AH6" s="1"/>
  <c r="V6"/>
  <c r="U6"/>
  <c r="T6"/>
  <c r="O6"/>
  <c r="AZ5"/>
  <c r="AV5"/>
  <c r="AU5"/>
  <c r="AC5"/>
  <c r="AH5" s="1"/>
  <c r="V5"/>
  <c r="U5"/>
  <c r="T5"/>
  <c r="O5"/>
  <c r="AA5" l="1"/>
  <c r="AF5" s="1"/>
  <c r="AA7"/>
  <c r="AF7" s="1"/>
  <c r="AA9"/>
  <c r="AF9" s="1"/>
  <c r="AA11"/>
  <c r="AF11" s="1"/>
  <c r="AA13"/>
  <c r="AF13" s="1"/>
  <c r="AA15"/>
  <c r="AF15" s="1"/>
  <c r="AA17"/>
  <c r="AF17" s="1"/>
  <c r="AA19"/>
  <c r="AF19" s="1"/>
  <c r="AB23"/>
  <c r="AG23" s="1"/>
  <c r="AB24"/>
  <c r="AG24" s="1"/>
  <c r="AB25"/>
  <c r="AG25" s="1"/>
  <c r="AB26"/>
  <c r="AG26" s="1"/>
  <c r="AB27"/>
  <c r="AG27" s="1"/>
  <c r="AA31"/>
  <c r="AF31" s="1"/>
  <c r="AA6"/>
  <c r="AF6" s="1"/>
  <c r="AA8"/>
  <c r="AF8" s="1"/>
  <c r="AA10"/>
  <c r="AF10" s="1"/>
  <c r="AA12"/>
  <c r="AF12" s="1"/>
  <c r="AA14"/>
  <c r="AF14" s="1"/>
  <c r="AA16"/>
  <c r="AF16" s="1"/>
  <c r="AA18"/>
  <c r="AF18" s="1"/>
  <c r="W20"/>
  <c r="AD20" s="1"/>
  <c r="AI20" s="1"/>
  <c r="AA20"/>
  <c r="AF20" s="1"/>
  <c r="AG21"/>
  <c r="AG22"/>
  <c r="AA29"/>
  <c r="AF29" s="1"/>
  <c r="AA28"/>
  <c r="AF28" s="1"/>
  <c r="AA30"/>
  <c r="AF30" s="1"/>
  <c r="AB5"/>
  <c r="AG5" s="1"/>
  <c r="AB6"/>
  <c r="AG6" s="1"/>
  <c r="AB7"/>
  <c r="AG7" s="1"/>
  <c r="AB8"/>
  <c r="AB9"/>
  <c r="AG9" s="1"/>
  <c r="W10"/>
  <c r="AB10"/>
  <c r="W11"/>
  <c r="AB11"/>
  <c r="AG11" s="1"/>
  <c r="W12"/>
  <c r="AB12"/>
  <c r="AG13"/>
  <c r="AG14"/>
  <c r="AG15"/>
  <c r="AG16"/>
  <c r="AG17"/>
  <c r="AG18"/>
  <c r="AG19"/>
  <c r="W13"/>
  <c r="W14"/>
  <c r="W15"/>
  <c r="W16"/>
  <c r="W17"/>
  <c r="W18"/>
  <c r="W19"/>
  <c r="AB20"/>
  <c r="AA21"/>
  <c r="AA22"/>
  <c r="AF22" s="1"/>
  <c r="AA23"/>
  <c r="AA24"/>
  <c r="AF24" s="1"/>
  <c r="AA25"/>
  <c r="AA26"/>
  <c r="AF26" s="1"/>
  <c r="AA27"/>
  <c r="W21"/>
  <c r="W22"/>
  <c r="W23"/>
  <c r="W24"/>
  <c r="W25"/>
  <c r="W26"/>
  <c r="W27"/>
  <c r="AG28"/>
  <c r="AG29"/>
  <c r="AG30"/>
  <c r="W28"/>
  <c r="W29"/>
  <c r="W30"/>
  <c r="W31"/>
  <c r="AB31"/>
  <c r="AA32"/>
  <c r="AG32"/>
  <c r="AA33"/>
  <c r="AG33"/>
  <c r="W32"/>
  <c r="W33"/>
  <c r="AE20" l="1"/>
  <c r="AD32"/>
  <c r="AI32" s="1"/>
  <c r="AD31"/>
  <c r="AE31" s="1"/>
  <c r="AD30"/>
  <c r="AE30" s="1"/>
  <c r="AD29"/>
  <c r="AE29" s="1"/>
  <c r="AD28"/>
  <c r="AE28" s="1"/>
  <c r="AG31"/>
  <c r="AD27"/>
  <c r="AI27" s="1"/>
  <c r="AD25"/>
  <c r="AI25" s="1"/>
  <c r="AD23"/>
  <c r="AI23" s="1"/>
  <c r="AD21"/>
  <c r="AI21" s="1"/>
  <c r="AD19"/>
  <c r="AE19" s="1"/>
  <c r="AD17"/>
  <c r="AE17" s="1"/>
  <c r="AG20"/>
  <c r="AJ20" s="1"/>
  <c r="F26" i="11" s="1"/>
  <c r="AD12" i="3"/>
  <c r="AE12" s="1"/>
  <c r="AD10"/>
  <c r="AE10" s="1"/>
  <c r="AD8"/>
  <c r="AE8" s="1"/>
  <c r="AD5"/>
  <c r="AI5" s="1"/>
  <c r="AG12"/>
  <c r="AG10"/>
  <c r="AG8"/>
  <c r="AD33"/>
  <c r="AE33" s="1"/>
  <c r="AF33"/>
  <c r="AF32"/>
  <c r="AD26"/>
  <c r="AI26" s="1"/>
  <c r="AD24"/>
  <c r="AI24" s="1"/>
  <c r="AD22"/>
  <c r="AI22" s="1"/>
  <c r="AD18"/>
  <c r="AE18" s="1"/>
  <c r="AD16"/>
  <c r="AE16" s="1"/>
  <c r="AD15"/>
  <c r="AE15" s="1"/>
  <c r="AD14"/>
  <c r="AE14" s="1"/>
  <c r="AD13"/>
  <c r="AE13" s="1"/>
  <c r="AF27"/>
  <c r="AF25"/>
  <c r="AF23"/>
  <c r="AF21"/>
  <c r="AD11"/>
  <c r="AE11" s="1"/>
  <c r="AD9"/>
  <c r="AE9" s="1"/>
  <c r="AD7"/>
  <c r="AE7" s="1"/>
  <c r="AD6"/>
  <c r="AE6" s="1"/>
  <c r="J619" i="11" l="1"/>
  <c r="J617"/>
  <c r="J603"/>
  <c r="J601"/>
  <c r="J599"/>
  <c r="J597"/>
  <c r="J595"/>
  <c r="J593"/>
  <c r="J591"/>
  <c r="J589"/>
  <c r="J587"/>
  <c r="J618"/>
  <c r="J616"/>
  <c r="J608"/>
  <c r="J602"/>
  <c r="J600"/>
  <c r="J598"/>
  <c r="J596"/>
  <c r="J594"/>
  <c r="J592"/>
  <c r="J590"/>
  <c r="J588"/>
  <c r="J586"/>
  <c r="AK20" i="3"/>
  <c r="AE26"/>
  <c r="AE27"/>
  <c r="AE32"/>
  <c r="AE22"/>
  <c r="AE21"/>
  <c r="AE25"/>
  <c r="AE23"/>
  <c r="AE24"/>
  <c r="AI11"/>
  <c r="AJ11" s="1"/>
  <c r="F17" i="11" s="1"/>
  <c r="AE5" i="3"/>
  <c r="AI19"/>
  <c r="AJ19" s="1"/>
  <c r="F25" i="11" s="1"/>
  <c r="AI6" i="3"/>
  <c r="AJ6" s="1"/>
  <c r="F12" i="11" s="1"/>
  <c r="AI7" i="3"/>
  <c r="AJ7" s="1"/>
  <c r="F13" i="11" s="1"/>
  <c r="AI33" i="3"/>
  <c r="AJ33" s="1"/>
  <c r="F39" i="11" s="1"/>
  <c r="AI10" i="3"/>
  <c r="AJ10" s="1"/>
  <c r="F16" i="11" s="1"/>
  <c r="AI29" i="3"/>
  <c r="AJ29" s="1"/>
  <c r="F35" i="11" s="1"/>
  <c r="AI30" i="3"/>
  <c r="AJ24"/>
  <c r="F30" i="11" s="1"/>
  <c r="AJ22" i="3"/>
  <c r="F28" i="11" s="1"/>
  <c r="AJ26" i="3"/>
  <c r="F32" i="11" s="1"/>
  <c r="AJ5" i="3"/>
  <c r="F11" i="11" s="1"/>
  <c r="AI9" i="3"/>
  <c r="AI13"/>
  <c r="AI14"/>
  <c r="AI15"/>
  <c r="AI16"/>
  <c r="AI18"/>
  <c r="AJ32"/>
  <c r="F38" i="11" s="1"/>
  <c r="AI8" i="3"/>
  <c r="AI12"/>
  <c r="AJ12" s="1"/>
  <c r="F18" i="11" s="1"/>
  <c r="AI17" i="3"/>
  <c r="AI28"/>
  <c r="AJ21"/>
  <c r="F27" i="11" s="1"/>
  <c r="AJ23" i="3"/>
  <c r="F29" i="11" s="1"/>
  <c r="AJ25" i="3"/>
  <c r="F31" i="11" s="1"/>
  <c r="AJ27" i="3"/>
  <c r="F33" i="11" s="1"/>
  <c r="AI31" i="3"/>
  <c r="J856" i="11" l="1"/>
  <c r="J854"/>
  <c r="J846"/>
  <c r="J840"/>
  <c r="J838"/>
  <c r="J836"/>
  <c r="J834"/>
  <c r="J832"/>
  <c r="J830"/>
  <c r="J828"/>
  <c r="J826"/>
  <c r="J824"/>
  <c r="J857"/>
  <c r="J855"/>
  <c r="J841"/>
  <c r="J839"/>
  <c r="J837"/>
  <c r="J835"/>
  <c r="J833"/>
  <c r="J831"/>
  <c r="J829"/>
  <c r="J827"/>
  <c r="J825"/>
  <c r="J347"/>
  <c r="J345"/>
  <c r="J331"/>
  <c r="J329"/>
  <c r="J327"/>
  <c r="J325"/>
  <c r="J323"/>
  <c r="J321"/>
  <c r="J319"/>
  <c r="J317"/>
  <c r="J315"/>
  <c r="J346"/>
  <c r="J344"/>
  <c r="J336"/>
  <c r="J330"/>
  <c r="J328"/>
  <c r="J326"/>
  <c r="J324"/>
  <c r="J322"/>
  <c r="J320"/>
  <c r="J318"/>
  <c r="J316"/>
  <c r="J314"/>
  <c r="J1027"/>
  <c r="J1025"/>
  <c r="J1011"/>
  <c r="J1009"/>
  <c r="J1007"/>
  <c r="J1005"/>
  <c r="J1003"/>
  <c r="J1001"/>
  <c r="J999"/>
  <c r="J997"/>
  <c r="J995"/>
  <c r="J1026"/>
  <c r="J1024"/>
  <c r="J1016"/>
  <c r="J1010"/>
  <c r="J1008"/>
  <c r="J1006"/>
  <c r="J1004"/>
  <c r="J1002"/>
  <c r="J1000"/>
  <c r="J998"/>
  <c r="J996"/>
  <c r="J994"/>
  <c r="J822"/>
  <c r="J820"/>
  <c r="J812"/>
  <c r="J806"/>
  <c r="J804"/>
  <c r="J802"/>
  <c r="J800"/>
  <c r="J798"/>
  <c r="J796"/>
  <c r="J794"/>
  <c r="J792"/>
  <c r="J790"/>
  <c r="J823"/>
  <c r="J821"/>
  <c r="J807"/>
  <c r="J805"/>
  <c r="J803"/>
  <c r="J801"/>
  <c r="J799"/>
  <c r="J797"/>
  <c r="J795"/>
  <c r="J793"/>
  <c r="J791"/>
  <c r="J754"/>
  <c r="J752"/>
  <c r="J744"/>
  <c r="J738"/>
  <c r="J736"/>
  <c r="J734"/>
  <c r="J732"/>
  <c r="J730"/>
  <c r="J728"/>
  <c r="J726"/>
  <c r="J724"/>
  <c r="J722"/>
  <c r="J755"/>
  <c r="J753"/>
  <c r="J739"/>
  <c r="J737"/>
  <c r="J735"/>
  <c r="J733"/>
  <c r="J731"/>
  <c r="J729"/>
  <c r="J727"/>
  <c r="J725"/>
  <c r="J723"/>
  <c r="J924"/>
  <c r="J922"/>
  <c r="J914"/>
  <c r="J908"/>
  <c r="J906"/>
  <c r="J904"/>
  <c r="J902"/>
  <c r="J900"/>
  <c r="J898"/>
  <c r="J896"/>
  <c r="J894"/>
  <c r="J892"/>
  <c r="J925"/>
  <c r="J923"/>
  <c r="J909"/>
  <c r="J907"/>
  <c r="J905"/>
  <c r="J903"/>
  <c r="J901"/>
  <c r="J899"/>
  <c r="J897"/>
  <c r="J895"/>
  <c r="J893"/>
  <c r="J1061"/>
  <c r="J1059"/>
  <c r="J1045"/>
  <c r="J1043"/>
  <c r="J1041"/>
  <c r="J1039"/>
  <c r="J1037"/>
  <c r="J1035"/>
  <c r="J1033"/>
  <c r="J1031"/>
  <c r="J1029"/>
  <c r="J1060"/>
  <c r="J1058"/>
  <c r="J1050"/>
  <c r="J1044"/>
  <c r="J1042"/>
  <c r="J1040"/>
  <c r="J1038"/>
  <c r="J1036"/>
  <c r="J1034"/>
  <c r="J1032"/>
  <c r="J1030"/>
  <c r="J1028"/>
  <c r="J143"/>
  <c r="J141"/>
  <c r="J127"/>
  <c r="J125"/>
  <c r="J123"/>
  <c r="J121"/>
  <c r="J119"/>
  <c r="J117"/>
  <c r="J115"/>
  <c r="J113"/>
  <c r="J111"/>
  <c r="J142"/>
  <c r="J140"/>
  <c r="J132"/>
  <c r="J126"/>
  <c r="J124"/>
  <c r="J122"/>
  <c r="J120"/>
  <c r="J118"/>
  <c r="J116"/>
  <c r="J114"/>
  <c r="J112"/>
  <c r="J110"/>
  <c r="J720"/>
  <c r="J718"/>
  <c r="J710"/>
  <c r="J704"/>
  <c r="J702"/>
  <c r="J700"/>
  <c r="J698"/>
  <c r="J696"/>
  <c r="J694"/>
  <c r="J692"/>
  <c r="J690"/>
  <c r="J688"/>
  <c r="J721"/>
  <c r="J719"/>
  <c r="J705"/>
  <c r="J703"/>
  <c r="J701"/>
  <c r="J699"/>
  <c r="J697"/>
  <c r="J695"/>
  <c r="J693"/>
  <c r="J691"/>
  <c r="J689"/>
  <c r="J788"/>
  <c r="J786"/>
  <c r="J778"/>
  <c r="J772"/>
  <c r="J770"/>
  <c r="J768"/>
  <c r="J766"/>
  <c r="J764"/>
  <c r="J762"/>
  <c r="J760"/>
  <c r="J758"/>
  <c r="J756"/>
  <c r="J789"/>
  <c r="J787"/>
  <c r="J773"/>
  <c r="J771"/>
  <c r="J769"/>
  <c r="J767"/>
  <c r="J765"/>
  <c r="J763"/>
  <c r="J761"/>
  <c r="J759"/>
  <c r="J757"/>
  <c r="J653"/>
  <c r="J651"/>
  <c r="J637"/>
  <c r="J635"/>
  <c r="J633"/>
  <c r="J631"/>
  <c r="J629"/>
  <c r="J627"/>
  <c r="J625"/>
  <c r="J623"/>
  <c r="J621"/>
  <c r="J652"/>
  <c r="J650"/>
  <c r="J642"/>
  <c r="J636"/>
  <c r="J634"/>
  <c r="J632"/>
  <c r="J630"/>
  <c r="J628"/>
  <c r="J626"/>
  <c r="J624"/>
  <c r="J622"/>
  <c r="J620"/>
  <c r="J109"/>
  <c r="J107"/>
  <c r="J93"/>
  <c r="J91"/>
  <c r="J89"/>
  <c r="J87"/>
  <c r="J85"/>
  <c r="J83"/>
  <c r="J81"/>
  <c r="J79"/>
  <c r="J77"/>
  <c r="J108"/>
  <c r="J106"/>
  <c r="J98"/>
  <c r="J92"/>
  <c r="J90"/>
  <c r="J88"/>
  <c r="J86"/>
  <c r="J84"/>
  <c r="J82"/>
  <c r="J80"/>
  <c r="J78"/>
  <c r="J76"/>
  <c r="J686"/>
  <c r="J684"/>
  <c r="J676"/>
  <c r="J670"/>
  <c r="J668"/>
  <c r="J666"/>
  <c r="J664"/>
  <c r="J662"/>
  <c r="J660"/>
  <c r="J658"/>
  <c r="J656"/>
  <c r="J654"/>
  <c r="J687"/>
  <c r="J685"/>
  <c r="J671"/>
  <c r="J669"/>
  <c r="J667"/>
  <c r="J665"/>
  <c r="J663"/>
  <c r="J661"/>
  <c r="J659"/>
  <c r="J657"/>
  <c r="J655"/>
  <c r="J279"/>
  <c r="J277"/>
  <c r="J263"/>
  <c r="J261"/>
  <c r="J259"/>
  <c r="J257"/>
  <c r="J255"/>
  <c r="J253"/>
  <c r="J251"/>
  <c r="J249"/>
  <c r="J247"/>
  <c r="J278"/>
  <c r="J276"/>
  <c r="J268"/>
  <c r="J262"/>
  <c r="J260"/>
  <c r="J258"/>
  <c r="J256"/>
  <c r="J254"/>
  <c r="J252"/>
  <c r="J250"/>
  <c r="J248"/>
  <c r="J246"/>
  <c r="J177"/>
  <c r="J175"/>
  <c r="J161"/>
  <c r="J159"/>
  <c r="J157"/>
  <c r="J155"/>
  <c r="J153"/>
  <c r="J151"/>
  <c r="J149"/>
  <c r="J147"/>
  <c r="J145"/>
  <c r="J176"/>
  <c r="J174"/>
  <c r="J166"/>
  <c r="J160"/>
  <c r="J158"/>
  <c r="J156"/>
  <c r="J154"/>
  <c r="J152"/>
  <c r="J150"/>
  <c r="J148"/>
  <c r="J146"/>
  <c r="J144"/>
  <c r="J585"/>
  <c r="J583"/>
  <c r="J569"/>
  <c r="J567"/>
  <c r="J565"/>
  <c r="J563"/>
  <c r="J561"/>
  <c r="J559"/>
  <c r="J557"/>
  <c r="J555"/>
  <c r="J553"/>
  <c r="J584"/>
  <c r="J582"/>
  <c r="J574"/>
  <c r="J568"/>
  <c r="J566"/>
  <c r="J564"/>
  <c r="J562"/>
  <c r="J560"/>
  <c r="J558"/>
  <c r="J556"/>
  <c r="J554"/>
  <c r="J552"/>
  <c r="J313"/>
  <c r="J311"/>
  <c r="J297"/>
  <c r="J295"/>
  <c r="J293"/>
  <c r="J291"/>
  <c r="J289"/>
  <c r="J287"/>
  <c r="J285"/>
  <c r="J283"/>
  <c r="J281"/>
  <c r="J312"/>
  <c r="J310"/>
  <c r="J302"/>
  <c r="J296"/>
  <c r="J294"/>
  <c r="J292"/>
  <c r="J290"/>
  <c r="J288"/>
  <c r="J286"/>
  <c r="J284"/>
  <c r="J282"/>
  <c r="J280"/>
  <c r="AK27" i="3"/>
  <c r="AK23"/>
  <c r="AK32"/>
  <c r="AK26"/>
  <c r="AK24"/>
  <c r="AK29"/>
  <c r="AK33"/>
  <c r="AK6"/>
  <c r="AK25"/>
  <c r="AK21"/>
  <c r="AK5"/>
  <c r="AK22"/>
  <c r="AK10"/>
  <c r="AK7"/>
  <c r="AK19"/>
  <c r="AK11"/>
  <c r="AK12"/>
  <c r="AJ30"/>
  <c r="F36" i="11" s="1"/>
  <c r="AJ28" i="3"/>
  <c r="F34" i="11" s="1"/>
  <c r="AJ8" i="3"/>
  <c r="F14" i="11" s="1"/>
  <c r="AJ18" i="3"/>
  <c r="F24" i="11" s="1"/>
  <c r="AJ15" i="3"/>
  <c r="F21" i="11" s="1"/>
  <c r="AJ13" i="3"/>
  <c r="F19" i="11" s="1"/>
  <c r="AJ9" i="3"/>
  <c r="F15" i="11" s="1"/>
  <c r="AJ31" i="3"/>
  <c r="F37" i="11" s="1"/>
  <c r="AJ17" i="3"/>
  <c r="F23" i="11" s="1"/>
  <c r="AJ16" i="3"/>
  <c r="F22" i="11" s="1"/>
  <c r="AJ14" i="3"/>
  <c r="F20" i="11" s="1"/>
  <c r="J415" l="1"/>
  <c r="J413"/>
  <c r="J399"/>
  <c r="J397"/>
  <c r="J395"/>
  <c r="J393"/>
  <c r="J391"/>
  <c r="J389"/>
  <c r="J387"/>
  <c r="J385"/>
  <c r="J383"/>
  <c r="J414"/>
  <c r="J412"/>
  <c r="J404"/>
  <c r="J398"/>
  <c r="J396"/>
  <c r="J394"/>
  <c r="J392"/>
  <c r="J390"/>
  <c r="J388"/>
  <c r="J386"/>
  <c r="J384"/>
  <c r="J382"/>
  <c r="J245"/>
  <c r="J243"/>
  <c r="J229"/>
  <c r="J227"/>
  <c r="J225"/>
  <c r="J223"/>
  <c r="J221"/>
  <c r="J219"/>
  <c r="J217"/>
  <c r="J215"/>
  <c r="J213"/>
  <c r="J244"/>
  <c r="J242"/>
  <c r="J234"/>
  <c r="J228"/>
  <c r="J226"/>
  <c r="J224"/>
  <c r="J222"/>
  <c r="J220"/>
  <c r="J218"/>
  <c r="J216"/>
  <c r="J214"/>
  <c r="J212"/>
  <c r="J449"/>
  <c r="J447"/>
  <c r="J433"/>
  <c r="J431"/>
  <c r="J429"/>
  <c r="J427"/>
  <c r="J425"/>
  <c r="J423"/>
  <c r="J421"/>
  <c r="J419"/>
  <c r="J417"/>
  <c r="J448"/>
  <c r="J446"/>
  <c r="J438"/>
  <c r="J432"/>
  <c r="J430"/>
  <c r="J428"/>
  <c r="J426"/>
  <c r="J424"/>
  <c r="J422"/>
  <c r="J420"/>
  <c r="J418"/>
  <c r="J416"/>
  <c r="J958"/>
  <c r="J956"/>
  <c r="J948"/>
  <c r="J942"/>
  <c r="J940"/>
  <c r="J938"/>
  <c r="J936"/>
  <c r="J934"/>
  <c r="J932"/>
  <c r="J930"/>
  <c r="J928"/>
  <c r="J926"/>
  <c r="J959"/>
  <c r="J957"/>
  <c r="J943"/>
  <c r="J941"/>
  <c r="J939"/>
  <c r="J937"/>
  <c r="J935"/>
  <c r="J933"/>
  <c r="J931"/>
  <c r="J929"/>
  <c r="J927"/>
  <c r="J483"/>
  <c r="J481"/>
  <c r="J467"/>
  <c r="J465"/>
  <c r="J463"/>
  <c r="J461"/>
  <c r="J459"/>
  <c r="J457"/>
  <c r="J455"/>
  <c r="J453"/>
  <c r="J451"/>
  <c r="J482"/>
  <c r="J480"/>
  <c r="J472"/>
  <c r="J466"/>
  <c r="J464"/>
  <c r="J462"/>
  <c r="J460"/>
  <c r="J458"/>
  <c r="J456"/>
  <c r="J454"/>
  <c r="J452"/>
  <c r="J450"/>
  <c r="J992"/>
  <c r="J990"/>
  <c r="J982"/>
  <c r="J976"/>
  <c r="J974"/>
  <c r="J972"/>
  <c r="J970"/>
  <c r="J968"/>
  <c r="J966"/>
  <c r="J964"/>
  <c r="J962"/>
  <c r="J960"/>
  <c r="J993"/>
  <c r="J991"/>
  <c r="J977"/>
  <c r="J975"/>
  <c r="J973"/>
  <c r="J971"/>
  <c r="J969"/>
  <c r="J967"/>
  <c r="J965"/>
  <c r="J963"/>
  <c r="J961"/>
  <c r="J381"/>
  <c r="J379"/>
  <c r="J365"/>
  <c r="J363"/>
  <c r="J361"/>
  <c r="J359"/>
  <c r="J357"/>
  <c r="J355"/>
  <c r="J353"/>
  <c r="J351"/>
  <c r="J349"/>
  <c r="J380"/>
  <c r="J378"/>
  <c r="J370"/>
  <c r="J364"/>
  <c r="J362"/>
  <c r="J360"/>
  <c r="J358"/>
  <c r="J356"/>
  <c r="J354"/>
  <c r="J352"/>
  <c r="J350"/>
  <c r="J348"/>
  <c r="J551"/>
  <c r="J549"/>
  <c r="J535"/>
  <c r="J533"/>
  <c r="J531"/>
  <c r="J529"/>
  <c r="J527"/>
  <c r="J525"/>
  <c r="J523"/>
  <c r="J521"/>
  <c r="J519"/>
  <c r="J550"/>
  <c r="J548"/>
  <c r="J540"/>
  <c r="J534"/>
  <c r="J532"/>
  <c r="J530"/>
  <c r="J528"/>
  <c r="J526"/>
  <c r="J524"/>
  <c r="J522"/>
  <c r="J520"/>
  <c r="J518"/>
  <c r="J890"/>
  <c r="J888"/>
  <c r="J880"/>
  <c r="J874"/>
  <c r="J872"/>
  <c r="J870"/>
  <c r="J868"/>
  <c r="J866"/>
  <c r="J864"/>
  <c r="J862"/>
  <c r="J860"/>
  <c r="J858"/>
  <c r="J891"/>
  <c r="J889"/>
  <c r="J875"/>
  <c r="J873"/>
  <c r="J871"/>
  <c r="J869"/>
  <c r="J867"/>
  <c r="J865"/>
  <c r="J863"/>
  <c r="J861"/>
  <c r="J859"/>
  <c r="J517"/>
  <c r="J515"/>
  <c r="J501"/>
  <c r="J499"/>
  <c r="J497"/>
  <c r="J495"/>
  <c r="J493"/>
  <c r="J491"/>
  <c r="J489"/>
  <c r="J487"/>
  <c r="J485"/>
  <c r="J516"/>
  <c r="J514"/>
  <c r="J506"/>
  <c r="J500"/>
  <c r="J498"/>
  <c r="J496"/>
  <c r="J494"/>
  <c r="J492"/>
  <c r="J490"/>
  <c r="J488"/>
  <c r="J486"/>
  <c r="J484"/>
  <c r="J211"/>
  <c r="J209"/>
  <c r="J195"/>
  <c r="J193"/>
  <c r="J191"/>
  <c r="J189"/>
  <c r="J187"/>
  <c r="J185"/>
  <c r="J183"/>
  <c r="J181"/>
  <c r="J179"/>
  <c r="J210"/>
  <c r="J208"/>
  <c r="J200"/>
  <c r="J194"/>
  <c r="J192"/>
  <c r="J190"/>
  <c r="J188"/>
  <c r="J186"/>
  <c r="J184"/>
  <c r="J182"/>
  <c r="J180"/>
  <c r="J178"/>
  <c r="AK14" i="3"/>
  <c r="AK9"/>
  <c r="AK15"/>
  <c r="AK8"/>
  <c r="AK30"/>
  <c r="AK17"/>
  <c r="AK16"/>
  <c r="AK31"/>
  <c r="AK13"/>
  <c r="AK18"/>
  <c r="AK28"/>
  <c r="AO2" l="1"/>
  <c r="AN2"/>
  <c r="AM2"/>
  <c r="AL2"/>
  <c r="AK2"/>
  <c r="AU37" l="1"/>
  <c r="AV37"/>
  <c r="AU38"/>
  <c r="AV38"/>
  <c r="AU39"/>
  <c r="AV39"/>
  <c r="AU40"/>
  <c r="AV40"/>
  <c r="AU41"/>
  <c r="AV41"/>
  <c r="AU42"/>
  <c r="AV42"/>
  <c r="AU43"/>
  <c r="AV43"/>
  <c r="AU44"/>
  <c r="AV44"/>
  <c r="AU45"/>
  <c r="AV45"/>
  <c r="AU46"/>
  <c r="AV46"/>
  <c r="AU47"/>
  <c r="AV47"/>
  <c r="AU48"/>
  <c r="AV48"/>
  <c r="AU49"/>
  <c r="AV49"/>
  <c r="AU50"/>
  <c r="AV50"/>
  <c r="AU34"/>
  <c r="AV34"/>
  <c r="AU35"/>
  <c r="AV35"/>
  <c r="AU36"/>
  <c r="AV36"/>
  <c r="AZ2"/>
  <c r="AY2"/>
  <c r="AX2"/>
  <c r="AW2"/>
  <c r="AT2" l="1"/>
  <c r="AS2"/>
  <c r="AR2"/>
  <c r="AQ2"/>
  <c r="AV2"/>
  <c r="AU2"/>
  <c r="E39" i="13" l="1"/>
  <c r="E40"/>
  <c r="E41"/>
  <c r="E42"/>
  <c r="E43"/>
  <c r="E44"/>
  <c r="E45"/>
  <c r="E46"/>
  <c r="AW4" i="3" l="1"/>
  <c r="AL4" s="1"/>
  <c r="AM4" s="1"/>
  <c r="AY4" s="1"/>
  <c r="AW93"/>
  <c r="AL93" s="1"/>
  <c r="AM93" s="1"/>
  <c r="AY93" s="1"/>
  <c r="AW50"/>
  <c r="AW48"/>
  <c r="AW46"/>
  <c r="AW44"/>
  <c r="AW42"/>
  <c r="AW40"/>
  <c r="AW38"/>
  <c r="AW36"/>
  <c r="AW34"/>
  <c r="AW11"/>
  <c r="AL11" s="1"/>
  <c r="AM11" s="1"/>
  <c r="AW18"/>
  <c r="AL18" s="1"/>
  <c r="AM18" s="1"/>
  <c r="AW20"/>
  <c r="AL20" s="1"/>
  <c r="AM20" s="1"/>
  <c r="AW5"/>
  <c r="AL5" s="1"/>
  <c r="AM5" s="1"/>
  <c r="AW8"/>
  <c r="AL8" s="1"/>
  <c r="AM8" s="1"/>
  <c r="AW10"/>
  <c r="AL10" s="1"/>
  <c r="AM10" s="1"/>
  <c r="AW14"/>
  <c r="AL14" s="1"/>
  <c r="AM14" s="1"/>
  <c r="AW16"/>
  <c r="AL16" s="1"/>
  <c r="AM16" s="1"/>
  <c r="AW22"/>
  <c r="AL22" s="1"/>
  <c r="AM22" s="1"/>
  <c r="AW24"/>
  <c r="AL24" s="1"/>
  <c r="AM24" s="1"/>
  <c r="AW26"/>
  <c r="AL26" s="1"/>
  <c r="AM26" s="1"/>
  <c r="AW28"/>
  <c r="AL28" s="1"/>
  <c r="AM28" s="1"/>
  <c r="AW30"/>
  <c r="AL30" s="1"/>
  <c r="AM30" s="1"/>
  <c r="AW32"/>
  <c r="AL32" s="1"/>
  <c r="AM32" s="1"/>
  <c r="AW49"/>
  <c r="AW47"/>
  <c r="AW45"/>
  <c r="AW43"/>
  <c r="AW41"/>
  <c r="AW39"/>
  <c r="AW37"/>
  <c r="AW35"/>
  <c r="AW6"/>
  <c r="AL6" s="1"/>
  <c r="AM6" s="1"/>
  <c r="AW12"/>
  <c r="AL12" s="1"/>
  <c r="AM12" s="1"/>
  <c r="AW19"/>
  <c r="AL19" s="1"/>
  <c r="AM19" s="1"/>
  <c r="AW21"/>
  <c r="AL21" s="1"/>
  <c r="AM21" s="1"/>
  <c r="AW7"/>
  <c r="AL7" s="1"/>
  <c r="AM7" s="1"/>
  <c r="AW9"/>
  <c r="AL9" s="1"/>
  <c r="AM9" s="1"/>
  <c r="AW13"/>
  <c r="AL13" s="1"/>
  <c r="AM13" s="1"/>
  <c r="AW15"/>
  <c r="AL15" s="1"/>
  <c r="AM15" s="1"/>
  <c r="AW17"/>
  <c r="AL17" s="1"/>
  <c r="AM17" s="1"/>
  <c r="AW23"/>
  <c r="AL23" s="1"/>
  <c r="AM23" s="1"/>
  <c r="AW25"/>
  <c r="AL25" s="1"/>
  <c r="AM25" s="1"/>
  <c r="AW27"/>
  <c r="AL27" s="1"/>
  <c r="AM27" s="1"/>
  <c r="AW29"/>
  <c r="AL29" s="1"/>
  <c r="AM29" s="1"/>
  <c r="AW31"/>
  <c r="AL31" s="1"/>
  <c r="AM31" s="1"/>
  <c r="AW33"/>
  <c r="AL33" s="1"/>
  <c r="AM33" s="1"/>
  <c r="AX4"/>
  <c r="AN4" s="1"/>
  <c r="AO4" s="1"/>
  <c r="AX93"/>
  <c r="AN93" s="1"/>
  <c r="AX21"/>
  <c r="AN21" s="1"/>
  <c r="AO21" s="1"/>
  <c r="AX20"/>
  <c r="AN20" s="1"/>
  <c r="AO20" s="1"/>
  <c r="AX19"/>
  <c r="AN19" s="1"/>
  <c r="AO19" s="1"/>
  <c r="AX18"/>
  <c r="AN18" s="1"/>
  <c r="AO18" s="1"/>
  <c r="AX17"/>
  <c r="AN17" s="1"/>
  <c r="AO17" s="1"/>
  <c r="AX16"/>
  <c r="AN16" s="1"/>
  <c r="AO16" s="1"/>
  <c r="AX15"/>
  <c r="AN15" s="1"/>
  <c r="AO15" s="1"/>
  <c r="AX14"/>
  <c r="AN14" s="1"/>
  <c r="AO14" s="1"/>
  <c r="AX13"/>
  <c r="AN13" s="1"/>
  <c r="AO13" s="1"/>
  <c r="AX12"/>
  <c r="AN12" s="1"/>
  <c r="AO12" s="1"/>
  <c r="AX11"/>
  <c r="AN11" s="1"/>
  <c r="AO11" s="1"/>
  <c r="AX10"/>
  <c r="AN10" s="1"/>
  <c r="AO10" s="1"/>
  <c r="AX9"/>
  <c r="AN9" s="1"/>
  <c r="AO9" s="1"/>
  <c r="AX8"/>
  <c r="AN8" s="1"/>
  <c r="AO8" s="1"/>
  <c r="AX7"/>
  <c r="AN7" s="1"/>
  <c r="AO7" s="1"/>
  <c r="AX6"/>
  <c r="AN6" s="1"/>
  <c r="AO6" s="1"/>
  <c r="AX5"/>
  <c r="AN5" s="1"/>
  <c r="AO5" s="1"/>
  <c r="AX33"/>
  <c r="AN33" s="1"/>
  <c r="AO33" s="1"/>
  <c r="AX32"/>
  <c r="AN32" s="1"/>
  <c r="AO32" s="1"/>
  <c r="AX31"/>
  <c r="AN31" s="1"/>
  <c r="AO31" s="1"/>
  <c r="AX29"/>
  <c r="AN29" s="1"/>
  <c r="AO29" s="1"/>
  <c r="AX28"/>
  <c r="AN28" s="1"/>
  <c r="AO28" s="1"/>
  <c r="AX27"/>
  <c r="AN27" s="1"/>
  <c r="AO27" s="1"/>
  <c r="AX23"/>
  <c r="AN23" s="1"/>
  <c r="AO23" s="1"/>
  <c r="AX22"/>
  <c r="AN22" s="1"/>
  <c r="AO22" s="1"/>
  <c r="AX30"/>
  <c r="AN30" s="1"/>
  <c r="AO30" s="1"/>
  <c r="AX26"/>
  <c r="AN26" s="1"/>
  <c r="AO26" s="1"/>
  <c r="AX25"/>
  <c r="AN25" s="1"/>
  <c r="AO25" s="1"/>
  <c r="AX24"/>
  <c r="AN24" s="1"/>
  <c r="AO24" s="1"/>
  <c r="AX34"/>
  <c r="AX35"/>
  <c r="AX36"/>
  <c r="AX37"/>
  <c r="AX38"/>
  <c r="AX39"/>
  <c r="AX40"/>
  <c r="AX41"/>
  <c r="AX42"/>
  <c r="AX43"/>
  <c r="AX44"/>
  <c r="AX45"/>
  <c r="AX46"/>
  <c r="AX47"/>
  <c r="AX48"/>
  <c r="AX49"/>
  <c r="AX50"/>
  <c r="U34"/>
  <c r="V34"/>
  <c r="U35"/>
  <c r="V35"/>
  <c r="U36"/>
  <c r="V36"/>
  <c r="U37"/>
  <c r="V37"/>
  <c r="U38"/>
  <c r="V38"/>
  <c r="U39"/>
  <c r="V39"/>
  <c r="U40"/>
  <c r="V40"/>
  <c r="U41"/>
  <c r="V41"/>
  <c r="U42"/>
  <c r="V42"/>
  <c r="U43"/>
  <c r="V43"/>
  <c r="U44"/>
  <c r="V44"/>
  <c r="U45"/>
  <c r="V45"/>
  <c r="U46"/>
  <c r="V46"/>
  <c r="U47"/>
  <c r="V47"/>
  <c r="U48"/>
  <c r="V48"/>
  <c r="U49"/>
  <c r="V49"/>
  <c r="U50"/>
  <c r="V50"/>
  <c r="AP4" l="1"/>
  <c r="BG4" s="1"/>
  <c r="AO93"/>
  <c r="AP93" s="1"/>
  <c r="BE4"/>
  <c r="AZ50"/>
  <c r="AC50"/>
  <c r="AH50" s="1"/>
  <c r="AB50"/>
  <c r="AG50" s="1"/>
  <c r="T50"/>
  <c r="O50"/>
  <c r="AZ49"/>
  <c r="AC49"/>
  <c r="AH49" s="1"/>
  <c r="T49"/>
  <c r="O49"/>
  <c r="AZ48"/>
  <c r="AC48"/>
  <c r="AH48" s="1"/>
  <c r="AB48"/>
  <c r="T48"/>
  <c r="O48"/>
  <c r="AZ47"/>
  <c r="AC47"/>
  <c r="AH47" s="1"/>
  <c r="AB47"/>
  <c r="T47"/>
  <c r="O47"/>
  <c r="AC46"/>
  <c r="AH46" s="1"/>
  <c r="AB46"/>
  <c r="T46"/>
  <c r="O46"/>
  <c r="AZ45"/>
  <c r="AC45"/>
  <c r="AH45" s="1"/>
  <c r="AB45"/>
  <c r="T45"/>
  <c r="O45"/>
  <c r="AZ44"/>
  <c r="AC44"/>
  <c r="AH44" s="1"/>
  <c r="AB44"/>
  <c r="T44"/>
  <c r="O44"/>
  <c r="AZ43"/>
  <c r="AC43"/>
  <c r="AH43" s="1"/>
  <c r="AB43"/>
  <c r="T43"/>
  <c r="O43"/>
  <c r="AZ42"/>
  <c r="AC42"/>
  <c r="AH42" s="1"/>
  <c r="AB42"/>
  <c r="T42"/>
  <c r="O42"/>
  <c r="AZ41"/>
  <c r="AC41"/>
  <c r="AH41" s="1"/>
  <c r="T41"/>
  <c r="O41"/>
  <c r="AZ40"/>
  <c r="AC40"/>
  <c r="AH40" s="1"/>
  <c r="T40"/>
  <c r="O40"/>
  <c r="AZ39"/>
  <c r="AC39"/>
  <c r="AH39" s="1"/>
  <c r="T39"/>
  <c r="O39"/>
  <c r="AZ38"/>
  <c r="AC38"/>
  <c r="AH38" s="1"/>
  <c r="T38"/>
  <c r="O38"/>
  <c r="AZ37"/>
  <c r="AC37"/>
  <c r="AH37" s="1"/>
  <c r="T37"/>
  <c r="O37"/>
  <c r="AC36"/>
  <c r="AH36" s="1"/>
  <c r="T36"/>
  <c r="O36"/>
  <c r="AZ35"/>
  <c r="AC35"/>
  <c r="AH35" s="1"/>
  <c r="T35"/>
  <c r="O35"/>
  <c r="AZ34"/>
  <c r="AC34"/>
  <c r="AH34" s="1"/>
  <c r="T34"/>
  <c r="O34"/>
  <c r="BC4" l="1"/>
  <c r="BF4"/>
  <c r="BH4"/>
  <c r="BI4"/>
  <c r="BE93"/>
  <c r="BI93"/>
  <c r="BG93"/>
  <c r="BC93"/>
  <c r="BH93"/>
  <c r="BF93"/>
  <c r="AY28"/>
  <c r="AY26"/>
  <c r="AY17"/>
  <c r="AY23"/>
  <c r="AY25"/>
  <c r="AY32"/>
  <c r="AY19"/>
  <c r="AY5"/>
  <c r="AY8"/>
  <c r="AY14"/>
  <c r="AY16"/>
  <c r="AY22"/>
  <c r="AY7"/>
  <c r="AY6"/>
  <c r="AY21"/>
  <c r="AY13"/>
  <c r="AY15"/>
  <c r="AY29"/>
  <c r="AY18"/>
  <c r="AY10"/>
  <c r="AY30"/>
  <c r="AY12"/>
  <c r="AY33"/>
  <c r="AY11"/>
  <c r="AY24"/>
  <c r="AY9"/>
  <c r="AY27"/>
  <c r="AY31"/>
  <c r="AY20"/>
  <c r="AA35"/>
  <c r="AF35" s="1"/>
  <c r="AA37"/>
  <c r="AF37" s="1"/>
  <c r="AA39"/>
  <c r="AF39" s="1"/>
  <c r="AA41"/>
  <c r="AF41" s="1"/>
  <c r="AA50"/>
  <c r="AF50" s="1"/>
  <c r="AA34"/>
  <c r="AF34" s="1"/>
  <c r="AA36"/>
  <c r="AF36" s="1"/>
  <c r="AA38"/>
  <c r="AF38" s="1"/>
  <c r="AA40"/>
  <c r="AF40" s="1"/>
  <c r="AA42"/>
  <c r="AF42" s="1"/>
  <c r="AA43"/>
  <c r="AF43" s="1"/>
  <c r="AB49"/>
  <c r="AG49" s="1"/>
  <c r="W50"/>
  <c r="AD50" s="1"/>
  <c r="W34"/>
  <c r="AB34"/>
  <c r="W35"/>
  <c r="AB35"/>
  <c r="AG35" s="1"/>
  <c r="W36"/>
  <c r="AB36"/>
  <c r="AG36" s="1"/>
  <c r="W37"/>
  <c r="AB37"/>
  <c r="AG37" s="1"/>
  <c r="W38"/>
  <c r="AB38"/>
  <c r="W39"/>
  <c r="AB39"/>
  <c r="AG39" s="1"/>
  <c r="W40"/>
  <c r="AB40"/>
  <c r="AG40" s="1"/>
  <c r="W41"/>
  <c r="AB41"/>
  <c r="AG41" s="1"/>
  <c r="AG42"/>
  <c r="AG43"/>
  <c r="AA44"/>
  <c r="AG44"/>
  <c r="AA45"/>
  <c r="AG45"/>
  <c r="AA46"/>
  <c r="AG46"/>
  <c r="AA47"/>
  <c r="AG47"/>
  <c r="AA48"/>
  <c r="AG48"/>
  <c r="W42"/>
  <c r="W43"/>
  <c r="W44"/>
  <c r="W45"/>
  <c r="W46"/>
  <c r="W47"/>
  <c r="W48"/>
  <c r="AA49"/>
  <c r="W49"/>
  <c r="AP29" l="1"/>
  <c r="BH29" s="1"/>
  <c r="AP15"/>
  <c r="AP26"/>
  <c r="BF26" s="1"/>
  <c r="AP30"/>
  <c r="BI30" s="1"/>
  <c r="AP23"/>
  <c r="BC23" s="1"/>
  <c r="AP31"/>
  <c r="BI31" s="1"/>
  <c r="AP33"/>
  <c r="BH33" s="1"/>
  <c r="AP6"/>
  <c r="BE6" s="1"/>
  <c r="AP8"/>
  <c r="BG8" s="1"/>
  <c r="AP10"/>
  <c r="BF10" s="1"/>
  <c r="AP14"/>
  <c r="BI14" s="1"/>
  <c r="AP24"/>
  <c r="BF24" s="1"/>
  <c r="AP25"/>
  <c r="BC25" s="1"/>
  <c r="AP22"/>
  <c r="BG22" s="1"/>
  <c r="AP27"/>
  <c r="BG27" s="1"/>
  <c r="AP32"/>
  <c r="BH32" s="1"/>
  <c r="AP9"/>
  <c r="BC9" s="1"/>
  <c r="AP12"/>
  <c r="AP16"/>
  <c r="BF16" s="1"/>
  <c r="AP18"/>
  <c r="BI18" s="1"/>
  <c r="AP20"/>
  <c r="AP5"/>
  <c r="BF5" s="1"/>
  <c r="AP7"/>
  <c r="BI7" s="1"/>
  <c r="AP13"/>
  <c r="BF13" s="1"/>
  <c r="AP17"/>
  <c r="BG17" s="1"/>
  <c r="AP21"/>
  <c r="BI21" s="1"/>
  <c r="AP28"/>
  <c r="AP11"/>
  <c r="AP19"/>
  <c r="AI50"/>
  <c r="AE50"/>
  <c r="AD49"/>
  <c r="AI49" s="1"/>
  <c r="AD47"/>
  <c r="AI47" s="1"/>
  <c r="AD45"/>
  <c r="AI45" s="1"/>
  <c r="AD43"/>
  <c r="AE43" s="1"/>
  <c r="AF49"/>
  <c r="AF48"/>
  <c r="AF46"/>
  <c r="AF44"/>
  <c r="AD41"/>
  <c r="AI41" s="1"/>
  <c r="AD40"/>
  <c r="AI40" s="1"/>
  <c r="AD39"/>
  <c r="AI39" s="1"/>
  <c r="AD38"/>
  <c r="AE38" s="1"/>
  <c r="AD37"/>
  <c r="AI37" s="1"/>
  <c r="AD36"/>
  <c r="AI36" s="1"/>
  <c r="AG38"/>
  <c r="AD35"/>
  <c r="AI35" s="1"/>
  <c r="AJ35" s="1"/>
  <c r="F41" i="11" s="1"/>
  <c r="AD34" i="3"/>
  <c r="AI34" s="1"/>
  <c r="AG34"/>
  <c r="AD48"/>
  <c r="AE48" s="1"/>
  <c r="AD46"/>
  <c r="AE46" s="1"/>
  <c r="AD44"/>
  <c r="AE44" s="1"/>
  <c r="AD42"/>
  <c r="AE42" s="1"/>
  <c r="AF47"/>
  <c r="AF45"/>
  <c r="J1129" i="11" l="1"/>
  <c r="J1127"/>
  <c r="J1113"/>
  <c r="J1111"/>
  <c r="J1109"/>
  <c r="J1107"/>
  <c r="J1105"/>
  <c r="J1103"/>
  <c r="J1101"/>
  <c r="J1099"/>
  <c r="J1097"/>
  <c r="J1128"/>
  <c r="J1126"/>
  <c r="J1118"/>
  <c r="J1112"/>
  <c r="J1110"/>
  <c r="J1108"/>
  <c r="J1106"/>
  <c r="J1104"/>
  <c r="J1102"/>
  <c r="J1100"/>
  <c r="J1098"/>
  <c r="J1096"/>
  <c r="AK35" i="3"/>
  <c r="AL35" s="1"/>
  <c r="AM35" s="1"/>
  <c r="BH7"/>
  <c r="BF7"/>
  <c r="BG30"/>
  <c r="BF29"/>
  <c r="AJ50"/>
  <c r="F56" i="11" s="1"/>
  <c r="BE22" i="3"/>
  <c r="BH22"/>
  <c r="BE21"/>
  <c r="BF21"/>
  <c r="BG13"/>
  <c r="BE13"/>
  <c r="BH5"/>
  <c r="BC5"/>
  <c r="BE5"/>
  <c r="BC12"/>
  <c r="BH12"/>
  <c r="BF12"/>
  <c r="BH9"/>
  <c r="BF9"/>
  <c r="BG31"/>
  <c r="BH31"/>
  <c r="BF31"/>
  <c r="BI15"/>
  <c r="BE15"/>
  <c r="BC15"/>
  <c r="BG29"/>
  <c r="BC29"/>
  <c r="BI29"/>
  <c r="BI22"/>
  <c r="BE29"/>
  <c r="BE12"/>
  <c r="BE9"/>
  <c r="BH15"/>
  <c r="BH21"/>
  <c r="BH13"/>
  <c r="BF32"/>
  <c r="BG18"/>
  <c r="BC18"/>
  <c r="BF18"/>
  <c r="BG32"/>
  <c r="BC32"/>
  <c r="BI32"/>
  <c r="BE24"/>
  <c r="BG24"/>
  <c r="BC24"/>
  <c r="BG14"/>
  <c r="BC14"/>
  <c r="BF14"/>
  <c r="BC8"/>
  <c r="BF8"/>
  <c r="BE8"/>
  <c r="BH30"/>
  <c r="BE30"/>
  <c r="BF30"/>
  <c r="BF22"/>
  <c r="BC22"/>
  <c r="BG12"/>
  <c r="BI12"/>
  <c r="BI9"/>
  <c r="BG9"/>
  <c r="BG15"/>
  <c r="BF15"/>
  <c r="BE31"/>
  <c r="BC31"/>
  <c r="BC21"/>
  <c r="BG21"/>
  <c r="BI13"/>
  <c r="BC13"/>
  <c r="BI5"/>
  <c r="BG5"/>
  <c r="BH24"/>
  <c r="BI24"/>
  <c r="BE18"/>
  <c r="BH18"/>
  <c r="BE32"/>
  <c r="BE14"/>
  <c r="BH14"/>
  <c r="BI8"/>
  <c r="BH8"/>
  <c r="BC30"/>
  <c r="BH17"/>
  <c r="BC17"/>
  <c r="BI20"/>
  <c r="BF20"/>
  <c r="BE20"/>
  <c r="BH16"/>
  <c r="BC16"/>
  <c r="BH27"/>
  <c r="BC27"/>
  <c r="BH25"/>
  <c r="BG25"/>
  <c r="BE25"/>
  <c r="BC10"/>
  <c r="BG10"/>
  <c r="BI6"/>
  <c r="BF6"/>
  <c r="BG6"/>
  <c r="BE33"/>
  <c r="BF33"/>
  <c r="BH23"/>
  <c r="BG23"/>
  <c r="BF23"/>
  <c r="BE26"/>
  <c r="BG26"/>
  <c r="BC26"/>
  <c r="BE7"/>
  <c r="BH26"/>
  <c r="BI26"/>
  <c r="BE17"/>
  <c r="BG20"/>
  <c r="BG16"/>
  <c r="BE27"/>
  <c r="BH10"/>
  <c r="BI33"/>
  <c r="BG7"/>
  <c r="BC7"/>
  <c r="BF17"/>
  <c r="BI17"/>
  <c r="BC20"/>
  <c r="BH20"/>
  <c r="BE16"/>
  <c r="BI16"/>
  <c r="BF27"/>
  <c r="BI27"/>
  <c r="BF25"/>
  <c r="BI25"/>
  <c r="BE10"/>
  <c r="BI10"/>
  <c r="BC6"/>
  <c r="BH6"/>
  <c r="BC33"/>
  <c r="BG33"/>
  <c r="BE23"/>
  <c r="BI23"/>
  <c r="BG19"/>
  <c r="BH19"/>
  <c r="BC19"/>
  <c r="BI19"/>
  <c r="BF19"/>
  <c r="BE19"/>
  <c r="AE41"/>
  <c r="BF11"/>
  <c r="BI11"/>
  <c r="BE11"/>
  <c r="BH11"/>
  <c r="BG11"/>
  <c r="BC11"/>
  <c r="BG28"/>
  <c r="BH28"/>
  <c r="BC28"/>
  <c r="BI28"/>
  <c r="BE28"/>
  <c r="BF28"/>
  <c r="AE37"/>
  <c r="AE47"/>
  <c r="AE35"/>
  <c r="AE45"/>
  <c r="AE49"/>
  <c r="AE34"/>
  <c r="AI42"/>
  <c r="AJ42" s="1"/>
  <c r="F48" i="11" s="1"/>
  <c r="AI44" i="3"/>
  <c r="AI46"/>
  <c r="AJ46" s="1"/>
  <c r="F52" i="11" s="1"/>
  <c r="AI48" i="3"/>
  <c r="AJ37"/>
  <c r="F43" i="11" s="1"/>
  <c r="AJ39" i="3"/>
  <c r="F45" i="11" s="1"/>
  <c r="AJ41" i="3"/>
  <c r="F47" i="11" s="1"/>
  <c r="AJ36" i="3"/>
  <c r="F42" i="11" s="1"/>
  <c r="AJ40" i="3"/>
  <c r="F46" i="11" s="1"/>
  <c r="AJ45" i="3"/>
  <c r="F51" i="11" s="1"/>
  <c r="AE36" i="3"/>
  <c r="AE40"/>
  <c r="AE39"/>
  <c r="AI38"/>
  <c r="AJ38" s="1"/>
  <c r="F44" i="11" s="1"/>
  <c r="AI43" i="3"/>
  <c r="AJ47"/>
  <c r="F53" i="11" s="1"/>
  <c r="AJ34" i="3"/>
  <c r="F40" i="11" s="1"/>
  <c r="AJ49" i="3"/>
  <c r="F55" i="11" s="1"/>
  <c r="J1095" l="1"/>
  <c r="J1093"/>
  <c r="J1079"/>
  <c r="J1077"/>
  <c r="J1075"/>
  <c r="J1073"/>
  <c r="J1071"/>
  <c r="J1069"/>
  <c r="J1067"/>
  <c r="J1065"/>
  <c r="J1063"/>
  <c r="J1094"/>
  <c r="J1092"/>
  <c r="J1084"/>
  <c r="J1078"/>
  <c r="J1076"/>
  <c r="J1074"/>
  <c r="J1072"/>
  <c r="J1070"/>
  <c r="J1068"/>
  <c r="J1066"/>
  <c r="J1064"/>
  <c r="J1062"/>
  <c r="J1299"/>
  <c r="J1297"/>
  <c r="J1283"/>
  <c r="J1281"/>
  <c r="J1279"/>
  <c r="J1277"/>
  <c r="J1275"/>
  <c r="J1273"/>
  <c r="J1271"/>
  <c r="J1269"/>
  <c r="J1267"/>
  <c r="J1298"/>
  <c r="J1296"/>
  <c r="J1288"/>
  <c r="J1282"/>
  <c r="J1280"/>
  <c r="J1278"/>
  <c r="J1276"/>
  <c r="J1274"/>
  <c r="J1272"/>
  <c r="J1270"/>
  <c r="J1268"/>
  <c r="J1266"/>
  <c r="J1333"/>
  <c r="J1331"/>
  <c r="J1317"/>
  <c r="J1315"/>
  <c r="J1313"/>
  <c r="J1311"/>
  <c r="J1309"/>
  <c r="J1307"/>
  <c r="J1305"/>
  <c r="J1303"/>
  <c r="J1301"/>
  <c r="J1332"/>
  <c r="J1330"/>
  <c r="J1322"/>
  <c r="J1316"/>
  <c r="J1314"/>
  <c r="J1312"/>
  <c r="J1310"/>
  <c r="J1308"/>
  <c r="J1306"/>
  <c r="J1304"/>
  <c r="J1302"/>
  <c r="J1300"/>
  <c r="J1197"/>
  <c r="J1195"/>
  <c r="J1181"/>
  <c r="J1179"/>
  <c r="J1177"/>
  <c r="J1175"/>
  <c r="J1173"/>
  <c r="J1171"/>
  <c r="J1169"/>
  <c r="J1167"/>
  <c r="J1165"/>
  <c r="J1196"/>
  <c r="J1194"/>
  <c r="J1186"/>
  <c r="J1180"/>
  <c r="J1178"/>
  <c r="J1176"/>
  <c r="J1174"/>
  <c r="J1172"/>
  <c r="J1170"/>
  <c r="J1168"/>
  <c r="J1166"/>
  <c r="J1164"/>
  <c r="J1503"/>
  <c r="J1501"/>
  <c r="J1487"/>
  <c r="J1485"/>
  <c r="J1483"/>
  <c r="J1481"/>
  <c r="J1479"/>
  <c r="J1477"/>
  <c r="J1475"/>
  <c r="J1473"/>
  <c r="J1471"/>
  <c r="J1502"/>
  <c r="J1500"/>
  <c r="J1492"/>
  <c r="J1486"/>
  <c r="J1484"/>
  <c r="J1482"/>
  <c r="J1480"/>
  <c r="J1478"/>
  <c r="J1476"/>
  <c r="J1474"/>
  <c r="J1472"/>
  <c r="J1470"/>
  <c r="J1367"/>
  <c r="J1365"/>
  <c r="J1351"/>
  <c r="J1349"/>
  <c r="J1347"/>
  <c r="J1345"/>
  <c r="J1343"/>
  <c r="J1341"/>
  <c r="J1339"/>
  <c r="J1337"/>
  <c r="J1335"/>
  <c r="J1366"/>
  <c r="J1364"/>
  <c r="J1356"/>
  <c r="J1350"/>
  <c r="J1348"/>
  <c r="J1346"/>
  <c r="J1344"/>
  <c r="J1342"/>
  <c r="J1340"/>
  <c r="J1338"/>
  <c r="J1336"/>
  <c r="J1334"/>
  <c r="J1605"/>
  <c r="J1603"/>
  <c r="J1589"/>
  <c r="J1587"/>
  <c r="J1585"/>
  <c r="J1583"/>
  <c r="J1581"/>
  <c r="J1579"/>
  <c r="J1577"/>
  <c r="J1575"/>
  <c r="J1573"/>
  <c r="J1604"/>
  <c r="J1602"/>
  <c r="J1594"/>
  <c r="J1588"/>
  <c r="J1586"/>
  <c r="J1584"/>
  <c r="J1582"/>
  <c r="J1580"/>
  <c r="J1578"/>
  <c r="J1576"/>
  <c r="J1574"/>
  <c r="J1572"/>
  <c r="J1537"/>
  <c r="J1535"/>
  <c r="J1521"/>
  <c r="J1519"/>
  <c r="J1517"/>
  <c r="J1515"/>
  <c r="J1513"/>
  <c r="J1511"/>
  <c r="J1509"/>
  <c r="J1507"/>
  <c r="J1505"/>
  <c r="J1536"/>
  <c r="J1534"/>
  <c r="J1526"/>
  <c r="J1520"/>
  <c r="J1518"/>
  <c r="J1516"/>
  <c r="J1514"/>
  <c r="J1512"/>
  <c r="J1510"/>
  <c r="J1508"/>
  <c r="J1506"/>
  <c r="J1504"/>
  <c r="J1231"/>
  <c r="J1229"/>
  <c r="J1215"/>
  <c r="J1213"/>
  <c r="J1211"/>
  <c r="J1209"/>
  <c r="J1207"/>
  <c r="J1205"/>
  <c r="J1203"/>
  <c r="J1201"/>
  <c r="J1199"/>
  <c r="J1230"/>
  <c r="J1228"/>
  <c r="J1220"/>
  <c r="J1214"/>
  <c r="J1212"/>
  <c r="J1210"/>
  <c r="J1208"/>
  <c r="J1206"/>
  <c r="J1204"/>
  <c r="J1202"/>
  <c r="J1200"/>
  <c r="J1198"/>
  <c r="J1469"/>
  <c r="J1467"/>
  <c r="J1453"/>
  <c r="J1451"/>
  <c r="J1449"/>
  <c r="J1447"/>
  <c r="J1445"/>
  <c r="J1443"/>
  <c r="J1441"/>
  <c r="J1439"/>
  <c r="J1437"/>
  <c r="J1468"/>
  <c r="J1466"/>
  <c r="J1458"/>
  <c r="J1452"/>
  <c r="J1450"/>
  <c r="J1448"/>
  <c r="J1446"/>
  <c r="J1444"/>
  <c r="J1442"/>
  <c r="J1440"/>
  <c r="J1438"/>
  <c r="J1436"/>
  <c r="J1163"/>
  <c r="J1161"/>
  <c r="J1147"/>
  <c r="J1145"/>
  <c r="J1143"/>
  <c r="J1141"/>
  <c r="J1139"/>
  <c r="J1137"/>
  <c r="J1135"/>
  <c r="J1133"/>
  <c r="J1131"/>
  <c r="J1162"/>
  <c r="J1160"/>
  <c r="J1152"/>
  <c r="J1146"/>
  <c r="J1144"/>
  <c r="J1142"/>
  <c r="J1140"/>
  <c r="J1138"/>
  <c r="J1136"/>
  <c r="J1134"/>
  <c r="J1132"/>
  <c r="J1130"/>
  <c r="J1265"/>
  <c r="J1263"/>
  <c r="J1249"/>
  <c r="J1247"/>
  <c r="J1245"/>
  <c r="J1243"/>
  <c r="J1241"/>
  <c r="J1239"/>
  <c r="J1237"/>
  <c r="J1235"/>
  <c r="J1233"/>
  <c r="J1264"/>
  <c r="J1262"/>
  <c r="J1254"/>
  <c r="J1248"/>
  <c r="J1246"/>
  <c r="J1244"/>
  <c r="J1242"/>
  <c r="J1240"/>
  <c r="J1238"/>
  <c r="J1236"/>
  <c r="J1234"/>
  <c r="J1232"/>
  <c r="J1639"/>
  <c r="J1637"/>
  <c r="J1623"/>
  <c r="J1621"/>
  <c r="J1619"/>
  <c r="J1617"/>
  <c r="J1615"/>
  <c r="J1613"/>
  <c r="J1611"/>
  <c r="J1609"/>
  <c r="J1607"/>
  <c r="J1638"/>
  <c r="J1636"/>
  <c r="J1628"/>
  <c r="J1622"/>
  <c r="J1620"/>
  <c r="J1618"/>
  <c r="J1616"/>
  <c r="J1614"/>
  <c r="J1612"/>
  <c r="J1610"/>
  <c r="J1608"/>
  <c r="J1606"/>
  <c r="AK38" i="3"/>
  <c r="AL38" s="1"/>
  <c r="AM38" s="1"/>
  <c r="AK45"/>
  <c r="AL45" s="1"/>
  <c r="AM45" s="1"/>
  <c r="AK39"/>
  <c r="AL39" s="1"/>
  <c r="AM39" s="1"/>
  <c r="AK46"/>
  <c r="AL46" s="1"/>
  <c r="AM46" s="1"/>
  <c r="AK50"/>
  <c r="AL50" s="1"/>
  <c r="AM50" s="1"/>
  <c r="AN35"/>
  <c r="AO35" s="1"/>
  <c r="AK49"/>
  <c r="AL49" s="1"/>
  <c r="AM49" s="1"/>
  <c r="AK47"/>
  <c r="AL47" s="1"/>
  <c r="AM47" s="1"/>
  <c r="AK36"/>
  <c r="AL36" s="1"/>
  <c r="AM36" s="1"/>
  <c r="AK42"/>
  <c r="AL42" s="1"/>
  <c r="AM42" s="1"/>
  <c r="AK34"/>
  <c r="AL34" s="1"/>
  <c r="AM34" s="1"/>
  <c r="AK40"/>
  <c r="AL40" s="1"/>
  <c r="AM40" s="1"/>
  <c r="AK41"/>
  <c r="AL41" s="1"/>
  <c r="AM41" s="1"/>
  <c r="AK37"/>
  <c r="AL37" s="1"/>
  <c r="AM37" s="1"/>
  <c r="AJ48"/>
  <c r="F54" i="11" s="1"/>
  <c r="AJ44" i="3"/>
  <c r="F50" i="11" s="1"/>
  <c r="AJ43" i="3"/>
  <c r="F49" i="11" s="1"/>
  <c r="J1401" l="1"/>
  <c r="J1399"/>
  <c r="J1385"/>
  <c r="J1383"/>
  <c r="J1381"/>
  <c r="J1379"/>
  <c r="J1377"/>
  <c r="J1375"/>
  <c r="J1373"/>
  <c r="J1371"/>
  <c r="J1369"/>
  <c r="J1400"/>
  <c r="J1398"/>
  <c r="J1390"/>
  <c r="J1384"/>
  <c r="J1382"/>
  <c r="J1380"/>
  <c r="J1378"/>
  <c r="J1376"/>
  <c r="J1374"/>
  <c r="J1372"/>
  <c r="J1370"/>
  <c r="J1368"/>
  <c r="J1571"/>
  <c r="J1569"/>
  <c r="J1555"/>
  <c r="J1553"/>
  <c r="J1551"/>
  <c r="J1549"/>
  <c r="J1547"/>
  <c r="J1545"/>
  <c r="J1543"/>
  <c r="J1541"/>
  <c r="J1539"/>
  <c r="J1570"/>
  <c r="J1568"/>
  <c r="J1560"/>
  <c r="J1554"/>
  <c r="J1552"/>
  <c r="J1550"/>
  <c r="J1548"/>
  <c r="J1546"/>
  <c r="J1544"/>
  <c r="J1542"/>
  <c r="J1540"/>
  <c r="J1538"/>
  <c r="J1435"/>
  <c r="J1433"/>
  <c r="J1419"/>
  <c r="J1417"/>
  <c r="J1415"/>
  <c r="J1413"/>
  <c r="J1411"/>
  <c r="J1409"/>
  <c r="J1407"/>
  <c r="J1405"/>
  <c r="J1403"/>
  <c r="J1434"/>
  <c r="J1432"/>
  <c r="J1424"/>
  <c r="J1418"/>
  <c r="J1416"/>
  <c r="J1414"/>
  <c r="J1412"/>
  <c r="J1410"/>
  <c r="J1408"/>
  <c r="J1406"/>
  <c r="J1404"/>
  <c r="J1402"/>
  <c r="AN37" i="3"/>
  <c r="AO37" s="1"/>
  <c r="AN40"/>
  <c r="AO40" s="1"/>
  <c r="AN42"/>
  <c r="AO42" s="1"/>
  <c r="AN36"/>
  <c r="AO36" s="1"/>
  <c r="AN49"/>
  <c r="AO49" s="1"/>
  <c r="AN41"/>
  <c r="AO41" s="1"/>
  <c r="AN34"/>
  <c r="AO34" s="1"/>
  <c r="AN47"/>
  <c r="AO47" s="1"/>
  <c r="AK44"/>
  <c r="AL44" s="1"/>
  <c r="AM44" s="1"/>
  <c r="AK43"/>
  <c r="AL43" s="1"/>
  <c r="AM43" s="1"/>
  <c r="AK48"/>
  <c r="AL48" s="1"/>
  <c r="AM48" s="1"/>
  <c r="AN50"/>
  <c r="AO50" s="1"/>
  <c r="AN46"/>
  <c r="AO46" s="1"/>
  <c r="AN39"/>
  <c r="AO39" s="1"/>
  <c r="AN45"/>
  <c r="AO45" s="1"/>
  <c r="AN38"/>
  <c r="AO38" s="1"/>
  <c r="AN48" l="1"/>
  <c r="AO48" s="1"/>
  <c r="AN43"/>
  <c r="AO43" s="1"/>
  <c r="AN44"/>
  <c r="AO44" s="1"/>
  <c r="A10" i="11" l="1"/>
  <c r="E127" i="13" l="1"/>
  <c r="E126"/>
  <c r="E125"/>
  <c r="E124"/>
  <c r="E123"/>
  <c r="E122"/>
  <c r="E121"/>
  <c r="J21"/>
  <c r="J13"/>
  <c r="J11"/>
  <c r="J10"/>
  <c r="J9"/>
  <c r="J8"/>
  <c r="J7"/>
  <c r="J6"/>
  <c r="A11" i="4" l="1"/>
  <c r="AZ46" i="3" l="1"/>
  <c r="AZ36" l="1"/>
  <c r="AY50"/>
  <c r="AP35"/>
  <c r="BE35" s="1"/>
  <c r="AY45"/>
  <c r="AY34"/>
  <c r="AP48"/>
  <c r="BG48" s="1"/>
  <c r="AP37"/>
  <c r="BE37" s="1"/>
  <c r="AY44"/>
  <c r="AP42"/>
  <c r="AP39"/>
  <c r="AP43"/>
  <c r="AY43"/>
  <c r="AP50"/>
  <c r="AP44"/>
  <c r="AY49"/>
  <c r="AP40"/>
  <c r="AY40"/>
  <c r="AY36"/>
  <c r="AP36"/>
  <c r="AP38"/>
  <c r="AY38"/>
  <c r="AP34"/>
  <c r="AY47"/>
  <c r="AP47"/>
  <c r="AY39"/>
  <c r="AY48"/>
  <c r="AY42"/>
  <c r="AY35"/>
  <c r="AP49"/>
  <c r="AP45"/>
  <c r="AY41"/>
  <c r="AP41"/>
  <c r="AY37"/>
  <c r="AY46"/>
  <c r="AP46"/>
  <c r="BI37" l="1"/>
  <c r="BI48"/>
  <c r="BG37"/>
  <c r="BC35"/>
  <c r="BF35"/>
  <c r="BG35"/>
  <c r="BI35"/>
  <c r="BH35"/>
  <c r="BF37"/>
  <c r="BC48"/>
  <c r="BH37"/>
  <c r="BF48"/>
  <c r="BH48"/>
  <c r="BC37"/>
  <c r="BE48"/>
  <c r="BG49"/>
  <c r="BH49"/>
  <c r="BC49"/>
  <c r="BI49"/>
  <c r="BE49"/>
  <c r="BF49"/>
  <c r="BF36"/>
  <c r="BI36"/>
  <c r="BE36"/>
  <c r="BH36"/>
  <c r="BC36"/>
  <c r="BG36"/>
  <c r="BF39"/>
  <c r="BI39"/>
  <c r="BE39"/>
  <c r="BH39"/>
  <c r="BC39"/>
  <c r="BG39"/>
  <c r="BI46"/>
  <c r="BE46"/>
  <c r="BF46"/>
  <c r="BG46"/>
  <c r="BH46"/>
  <c r="BC46"/>
  <c r="BI41"/>
  <c r="BE41"/>
  <c r="BC41"/>
  <c r="BG41"/>
  <c r="BH41"/>
  <c r="BF41"/>
  <c r="BG45"/>
  <c r="BH45"/>
  <c r="BC45"/>
  <c r="BI45"/>
  <c r="BE45"/>
  <c r="BF45"/>
  <c r="BI47"/>
  <c r="BE47"/>
  <c r="BF47"/>
  <c r="BG47"/>
  <c r="BH47"/>
  <c r="BC47"/>
  <c r="BF34"/>
  <c r="BI34"/>
  <c r="BE34"/>
  <c r="BH34"/>
  <c r="BC34"/>
  <c r="BG34"/>
  <c r="BH38"/>
  <c r="BC38"/>
  <c r="BG38"/>
  <c r="BF38"/>
  <c r="BI38"/>
  <c r="BE38"/>
  <c r="BH40"/>
  <c r="BC40"/>
  <c r="BG40"/>
  <c r="BF40"/>
  <c r="BI40"/>
  <c r="BE40"/>
  <c r="BG44"/>
  <c r="BH44"/>
  <c r="BC44"/>
  <c r="BI44"/>
  <c r="BE44"/>
  <c r="BF44"/>
  <c r="BG50"/>
  <c r="BH50"/>
  <c r="BC50"/>
  <c r="BI50"/>
  <c r="BE50"/>
  <c r="BF50"/>
  <c r="BG43"/>
  <c r="BH43"/>
  <c r="BC43"/>
  <c r="BI43"/>
  <c r="BE43"/>
  <c r="BF43"/>
  <c r="BG42"/>
  <c r="BF42"/>
  <c r="BC42"/>
  <c r="BI42"/>
  <c r="BE42"/>
  <c r="BH42"/>
  <c r="CP103" l="1"/>
  <c r="CQ103" l="1"/>
  <c r="CO103"/>
  <c r="AJ15" i="11" l="1"/>
  <c r="AK15" s="1"/>
  <c r="AL15" s="1"/>
  <c r="AM15" s="1"/>
  <c r="AN15" s="1"/>
  <c r="AO15" s="1"/>
  <c r="AP15" s="1"/>
  <c r="AQ15" s="1"/>
  <c r="AR15" s="1"/>
  <c r="AS15" s="1"/>
  <c r="AT15" s="1"/>
  <c r="AU15" s="1"/>
  <c r="AV15" s="1"/>
  <c r="AW15" s="1"/>
  <c r="AX15" s="1"/>
  <c r="AY15" s="1"/>
  <c r="AZ15" s="1"/>
  <c r="BA15" s="1"/>
  <c r="BB15" s="1"/>
  <c r="BC15" s="1"/>
  <c r="BD15" s="1"/>
  <c r="BE15" s="1"/>
  <c r="BF15" s="1"/>
  <c r="BG15" s="1"/>
  <c r="G1671" l="1"/>
  <c r="G1637"/>
  <c r="G1603"/>
  <c r="G1569"/>
  <c r="G1535"/>
  <c r="G1501"/>
  <c r="G1467"/>
  <c r="G1433"/>
  <c r="G1399"/>
  <c r="G1365"/>
  <c r="G1331"/>
  <c r="G1297"/>
  <c r="G1263"/>
  <c r="G1229"/>
  <c r="G1195"/>
  <c r="G1161"/>
  <c r="G1127"/>
  <c r="G1093"/>
  <c r="G1059"/>
  <c r="G1025"/>
  <c r="G991"/>
  <c r="G957"/>
  <c r="G923"/>
  <c r="G889"/>
  <c r="CJ103" i="3" l="1"/>
  <c r="G175" i="11"/>
  <c r="G855"/>
  <c r="G821"/>
  <c r="G787"/>
  <c r="G753"/>
  <c r="G719"/>
  <c r="G685"/>
  <c r="G651"/>
  <c r="G617"/>
  <c r="G583"/>
  <c r="G549"/>
  <c r="G515"/>
  <c r="G481"/>
  <c r="G447"/>
  <c r="G413"/>
  <c r="G379"/>
  <c r="G345"/>
  <c r="G311"/>
  <c r="G277"/>
  <c r="G243"/>
  <c r="G209"/>
  <c r="G141"/>
  <c r="G107"/>
  <c r="G73"/>
  <c r="G39"/>
  <c r="G43" i="4"/>
  <c r="BD103" i="3"/>
  <c r="CG103"/>
  <c r="CF103"/>
  <c r="CA103"/>
  <c r="CE103"/>
  <c r="CM103"/>
  <c r="BT103"/>
  <c r="BY103"/>
  <c r="CD103"/>
  <c r="CL103"/>
  <c r="B3"/>
  <c r="C3" s="1"/>
  <c r="D3" s="1"/>
  <c r="E3" s="1"/>
  <c r="G103"/>
  <c r="F3" l="1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BL103"/>
  <c r="BS103"/>
  <c r="BV103"/>
  <c r="CK103"/>
  <c r="CH103"/>
  <c r="BK103"/>
  <c r="CB103"/>
  <c r="BA103"/>
  <c r="L103"/>
  <c r="CC103"/>
  <c r="BO103"/>
  <c r="CI103"/>
  <c r="BU103"/>
  <c r="N103"/>
  <c r="Q103"/>
  <c r="S103"/>
  <c r="Z103"/>
  <c r="R103"/>
  <c r="Y103"/>
  <c r="X103"/>
  <c r="BR103"/>
  <c r="BX103"/>
  <c r="M103"/>
  <c r="BM103"/>
  <c r="AB3" l="1"/>
  <c r="AC3" s="1"/>
  <c r="AD3" s="1"/>
  <c r="AE3" s="1"/>
  <c r="AC103"/>
  <c r="V103"/>
  <c r="K103"/>
  <c r="AF3" l="1"/>
  <c r="AG3" s="1"/>
  <c r="AH3" s="1"/>
  <c r="AI3" s="1"/>
  <c r="AJ3" s="1"/>
  <c r="AH103"/>
  <c r="O103"/>
  <c r="P103"/>
  <c r="AB103"/>
  <c r="AK3" l="1"/>
  <c r="AL3" s="1"/>
  <c r="AM3" s="1"/>
  <c r="AN3" s="1"/>
  <c r="AO3" s="1"/>
  <c r="AP3" s="1"/>
  <c r="AQ3" s="1"/>
  <c r="AR3" s="1"/>
  <c r="AS3" s="1"/>
  <c r="AT3" s="1"/>
  <c r="AU3" s="1"/>
  <c r="AV3" s="1"/>
  <c r="AW3" s="1"/>
  <c r="AX3" s="1"/>
  <c r="AY3" s="1"/>
  <c r="AZ3" s="1"/>
  <c r="BA3" s="1"/>
  <c r="BB3" s="1"/>
  <c r="BC3" s="1"/>
  <c r="BD3" s="1"/>
  <c r="BE3" s="1"/>
  <c r="BF3" s="1"/>
  <c r="BG3" s="1"/>
  <c r="BH3" s="1"/>
  <c r="BI3" s="1"/>
  <c r="BJ3" s="1"/>
  <c r="BL3" s="1"/>
  <c r="BM3" s="1"/>
  <c r="BN3" s="1"/>
  <c r="BO3" s="1"/>
  <c r="BP3" s="1"/>
  <c r="BQ3" s="1"/>
  <c r="BR3" s="1"/>
  <c r="BS3" s="1"/>
  <c r="BT3" s="1"/>
  <c r="BU3" s="1"/>
  <c r="BV3" s="1"/>
  <c r="U103"/>
  <c r="T103"/>
  <c r="AG103"/>
  <c r="BW3" l="1"/>
  <c r="BX3" s="1"/>
  <c r="BY3" s="1"/>
  <c r="W103"/>
  <c r="CB3" l="1"/>
  <c r="CC3" s="1"/>
  <c r="CD3" s="1"/>
  <c r="CE3" s="1"/>
  <c r="CF3" s="1"/>
  <c r="CG3" s="1"/>
  <c r="CH3" s="1"/>
  <c r="CI3" s="1"/>
  <c r="CJ3" s="1"/>
  <c r="CK3" s="1"/>
  <c r="CL3" s="1"/>
  <c r="CM3" s="1"/>
  <c r="CN3" s="1"/>
  <c r="CO3" s="1"/>
  <c r="CP3" s="1"/>
  <c r="CQ3" s="1"/>
  <c r="CR3" s="1"/>
  <c r="CS3" s="1"/>
  <c r="CT3" s="1"/>
  <c r="CU3" s="1"/>
  <c r="CV3" s="1"/>
  <c r="CW3" s="1"/>
  <c r="CX3" s="1"/>
  <c r="BZ3"/>
  <c r="AI103"/>
  <c r="AD103"/>
  <c r="AA103"/>
  <c r="AE103"/>
  <c r="AF103" l="1"/>
  <c r="AJ103"/>
  <c r="E25" i="11" s="1"/>
  <c r="AK103" i="3" l="1"/>
  <c r="AN103" l="1"/>
  <c r="AO103" l="1"/>
  <c r="AZ103"/>
  <c r="E36" i="11" s="1"/>
  <c r="AL103" i="3" l="1"/>
  <c r="AM103"/>
  <c r="BC103"/>
  <c r="BH103" l="1"/>
  <c r="AP103"/>
  <c r="E37" i="11" s="1"/>
  <c r="BI103" i="3"/>
  <c r="AY103"/>
  <c r="E33" i="11" s="1"/>
  <c r="BF103" i="3" l="1"/>
  <c r="BE103"/>
  <c r="BG103"/>
  <c r="J103" l="1"/>
  <c r="B60" i="11" l="1"/>
  <c r="D62"/>
  <c r="H16"/>
  <c r="B59"/>
  <c r="E70"/>
  <c r="C50"/>
  <c r="L19" s="1"/>
  <c r="B61"/>
  <c r="D63"/>
  <c r="J63" s="1"/>
  <c r="D69"/>
  <c r="J69" s="1"/>
  <c r="C51"/>
  <c r="L20" s="1"/>
  <c r="A43"/>
  <c r="I43" s="1"/>
  <c r="C53"/>
  <c r="L22" s="1"/>
  <c r="C47"/>
  <c r="H47" s="1"/>
  <c r="C49"/>
  <c r="L18" s="1"/>
  <c r="E67"/>
  <c r="E71"/>
  <c r="I11"/>
  <c r="C54"/>
  <c r="L23" s="1"/>
  <c r="C52"/>
  <c r="L21" s="1"/>
  <c r="I12"/>
  <c r="C48"/>
  <c r="I8"/>
  <c r="C55"/>
  <c r="L24" s="1"/>
  <c r="D66"/>
  <c r="J66" s="1"/>
  <c r="I12" i="4"/>
  <c r="D65" i="11" l="1"/>
  <c r="J65" s="1"/>
  <c r="J62"/>
  <c r="L35"/>
  <c r="D61"/>
  <c r="J61" s="1"/>
  <c r="L29"/>
  <c r="A63"/>
  <c r="D68"/>
  <c r="J68" s="1"/>
  <c r="L32"/>
  <c r="C56"/>
  <c r="L17"/>
  <c r="D60"/>
  <c r="J60" s="1"/>
  <c r="L28"/>
  <c r="L31" l="1"/>
  <c r="D67"/>
  <c r="J67" s="1"/>
  <c r="A60"/>
  <c r="L34"/>
  <c r="D70"/>
  <c r="J70" s="1"/>
  <c r="A61" l="1"/>
  <c r="A62"/>
  <c r="A65" s="1"/>
  <c r="A66" s="1"/>
  <c r="A67" s="1"/>
  <c r="A68" s="1"/>
  <c r="A69" s="1"/>
  <c r="D71"/>
  <c r="J71" s="1"/>
  <c r="A70"/>
  <c r="A71" l="1"/>
  <c r="A14" l="1"/>
  <c r="C492" l="1"/>
  <c r="Y19" s="1"/>
  <c r="C523"/>
  <c r="H523" s="1"/>
  <c r="C290"/>
  <c r="S21" s="1"/>
  <c r="A111"/>
  <c r="I111" s="1"/>
  <c r="C524"/>
  <c r="C557"/>
  <c r="H557" s="1"/>
  <c r="C428"/>
  <c r="W23" s="1"/>
  <c r="B400"/>
  <c r="B469"/>
  <c r="C355"/>
  <c r="U18" s="1"/>
  <c r="C156"/>
  <c r="O23" s="1"/>
  <c r="C562"/>
  <c r="AA21" s="1"/>
  <c r="E308"/>
  <c r="D270"/>
  <c r="D273"/>
  <c r="D511"/>
  <c r="E407"/>
  <c r="E240"/>
  <c r="B365"/>
  <c r="B603"/>
  <c r="C625"/>
  <c r="H625" s="1"/>
  <c r="C392"/>
  <c r="V21" s="1"/>
  <c r="C529"/>
  <c r="Z22" s="1"/>
  <c r="C491"/>
  <c r="Y18" s="1"/>
  <c r="C527"/>
  <c r="Z20" s="1"/>
  <c r="E478"/>
  <c r="C183"/>
  <c r="H183" s="1"/>
  <c r="D137"/>
  <c r="D470"/>
  <c r="B263"/>
  <c r="E445"/>
  <c r="E615"/>
  <c r="C89"/>
  <c r="M24" s="1"/>
  <c r="C359"/>
  <c r="U22" s="1"/>
  <c r="C387"/>
  <c r="H387" s="1"/>
  <c r="C455"/>
  <c r="H455" s="1"/>
  <c r="C285"/>
  <c r="H285" s="1"/>
  <c r="C88"/>
  <c r="M23" s="1"/>
  <c r="E305"/>
  <c r="E512"/>
  <c r="C459"/>
  <c r="X20" s="1"/>
  <c r="C357"/>
  <c r="U20" s="1"/>
  <c r="B229"/>
  <c r="D572"/>
  <c r="D168"/>
  <c r="D233"/>
  <c r="B231"/>
  <c r="D437"/>
  <c r="B333"/>
  <c r="B535"/>
  <c r="C599"/>
  <c r="AB24" s="1"/>
  <c r="C631"/>
  <c r="AC22" s="1"/>
  <c r="C627"/>
  <c r="AC18" s="1"/>
  <c r="C662"/>
  <c r="AD19" s="1"/>
  <c r="E716"/>
  <c r="C735"/>
  <c r="AF24" s="1"/>
  <c r="C768"/>
  <c r="AG23" s="1"/>
  <c r="E785"/>
  <c r="C799"/>
  <c r="AH20" s="1"/>
  <c r="D851"/>
  <c r="C495"/>
  <c r="Y22" s="1"/>
  <c r="C360"/>
  <c r="U23" s="1"/>
  <c r="C421"/>
  <c r="H421" s="1"/>
  <c r="C151"/>
  <c r="O18" s="1"/>
  <c r="C326"/>
  <c r="T23" s="1"/>
  <c r="A451"/>
  <c r="I451" s="1"/>
  <c r="A417"/>
  <c r="I417" s="1"/>
  <c r="E105"/>
  <c r="D97"/>
  <c r="C221"/>
  <c r="Q20" s="1"/>
  <c r="C526"/>
  <c r="Z19" s="1"/>
  <c r="E543"/>
  <c r="B366"/>
  <c r="D402"/>
  <c r="B196"/>
  <c r="D164"/>
  <c r="D103"/>
  <c r="D443"/>
  <c r="B297"/>
  <c r="C596"/>
  <c r="AB21" s="1"/>
  <c r="C257"/>
  <c r="R22" s="1"/>
  <c r="A145"/>
  <c r="I145" s="1"/>
  <c r="C286"/>
  <c r="C220"/>
  <c r="Q19" s="1"/>
  <c r="C531"/>
  <c r="Z24" s="1"/>
  <c r="D406"/>
  <c r="C393"/>
  <c r="V22" s="1"/>
  <c r="E546"/>
  <c r="D576"/>
  <c r="E410"/>
  <c r="B467"/>
  <c r="E645"/>
  <c r="C456"/>
  <c r="C149"/>
  <c r="H149" s="1"/>
  <c r="C256"/>
  <c r="R21" s="1"/>
  <c r="C462"/>
  <c r="X23" s="1"/>
  <c r="C395"/>
  <c r="V24" s="1"/>
  <c r="C324"/>
  <c r="T21" s="1"/>
  <c r="E475"/>
  <c r="E275"/>
  <c r="C120"/>
  <c r="N21" s="1"/>
  <c r="C388"/>
  <c r="D471"/>
  <c r="B503"/>
  <c r="D300"/>
  <c r="E580"/>
  <c r="E139"/>
  <c r="D474"/>
  <c r="D545"/>
  <c r="B433"/>
  <c r="E614"/>
  <c r="B639"/>
  <c r="C660"/>
  <c r="B672"/>
  <c r="C697"/>
  <c r="AE20" s="1"/>
  <c r="C727"/>
  <c r="H727" s="1"/>
  <c r="A757"/>
  <c r="I757" s="1"/>
  <c r="C796"/>
  <c r="B808"/>
  <c r="C829"/>
  <c r="H829" s="1"/>
  <c r="C864"/>
  <c r="D912"/>
  <c r="B911"/>
  <c r="C937"/>
  <c r="C868"/>
  <c r="AJ21" s="1"/>
  <c r="E917"/>
  <c r="C496"/>
  <c r="Y23" s="1"/>
  <c r="E1192"/>
  <c r="A1199"/>
  <c r="I1199" s="1"/>
  <c r="E1223"/>
  <c r="C1242"/>
  <c r="AU21" s="1"/>
  <c r="B1285"/>
  <c r="C1308"/>
  <c r="AW19" s="1"/>
  <c r="C1310"/>
  <c r="AW21" s="1"/>
  <c r="C1343"/>
  <c r="AX20" s="1"/>
  <c r="C1380"/>
  <c r="AY23" s="1"/>
  <c r="C1412"/>
  <c r="AZ21" s="1"/>
  <c r="D1423"/>
  <c r="C1445"/>
  <c r="BA20" s="1"/>
  <c r="B1522"/>
  <c r="C1514"/>
  <c r="BC21" s="1"/>
  <c r="C1549"/>
  <c r="C1551"/>
  <c r="BD24" s="1"/>
  <c r="B1555"/>
  <c r="A1539"/>
  <c r="I1539" s="1"/>
  <c r="B1557"/>
  <c r="A1165"/>
  <c r="I1165" s="1"/>
  <c r="B1181"/>
  <c r="E1226"/>
  <c r="C1245"/>
  <c r="AU24" s="1"/>
  <c r="E1294"/>
  <c r="B1318"/>
  <c r="B1353"/>
  <c r="B1387"/>
  <c r="E921"/>
  <c r="C1170"/>
  <c r="C1209"/>
  <c r="C1210"/>
  <c r="AT23" s="1"/>
  <c r="E1257"/>
  <c r="C1276"/>
  <c r="AV21" s="1"/>
  <c r="D1290"/>
  <c r="C1309"/>
  <c r="AW20" s="1"/>
  <c r="C1339"/>
  <c r="H1339" s="1"/>
  <c r="C1378"/>
  <c r="AY21" s="1"/>
  <c r="B1385"/>
  <c r="C1413"/>
  <c r="D1456"/>
  <c r="C1482"/>
  <c r="BB23" s="1"/>
  <c r="E1498"/>
  <c r="B1521"/>
  <c r="C1547"/>
  <c r="BD20" s="1"/>
  <c r="D1558"/>
  <c r="D1559"/>
  <c r="C1545"/>
  <c r="BD18" s="1"/>
  <c r="B1556"/>
  <c r="D1185"/>
  <c r="C1204"/>
  <c r="C1238"/>
  <c r="E1328"/>
  <c r="D1327"/>
  <c r="A1335"/>
  <c r="I1335" s="1"/>
  <c r="D1392"/>
  <c r="C1376"/>
  <c r="AY19" s="1"/>
  <c r="B1421"/>
  <c r="C1441"/>
  <c r="H1441" s="1"/>
  <c r="E1465"/>
  <c r="A1471"/>
  <c r="I1471" s="1"/>
  <c r="B1523"/>
  <c r="C1613"/>
  <c r="BF18" s="1"/>
  <c r="C1614"/>
  <c r="BF19" s="1"/>
  <c r="D1626"/>
  <c r="B1624"/>
  <c r="D1633"/>
  <c r="D32" i="4"/>
  <c r="C24"/>
  <c r="C19"/>
  <c r="F40"/>
  <c r="D35"/>
  <c r="B31"/>
  <c r="E1397" i="11"/>
  <c r="A1403"/>
  <c r="I1403" s="1"/>
  <c r="E1464"/>
  <c r="C1481"/>
  <c r="D1497"/>
  <c r="D1524"/>
  <c r="C1618"/>
  <c r="BF23" s="1"/>
  <c r="C1611"/>
  <c r="H1611" s="1"/>
  <c r="E1635"/>
  <c r="E1634"/>
  <c r="D1630"/>
  <c r="C21" i="4"/>
  <c r="F26"/>
  <c r="C17"/>
  <c r="H17" s="1"/>
  <c r="C22"/>
  <c r="B29"/>
  <c r="C23"/>
  <c r="C218" i="11"/>
  <c r="C424"/>
  <c r="W19" s="1"/>
  <c r="C292"/>
  <c r="S23" s="1"/>
  <c r="C186"/>
  <c r="P19" s="1"/>
  <c r="C356"/>
  <c r="U19" s="1"/>
  <c r="C463"/>
  <c r="X24" s="1"/>
  <c r="C154"/>
  <c r="O21" s="1"/>
  <c r="B298"/>
  <c r="D436"/>
  <c r="C253"/>
  <c r="R18" s="1"/>
  <c r="A179"/>
  <c r="I179" s="1"/>
  <c r="B162"/>
  <c r="D542"/>
  <c r="E173"/>
  <c r="B265"/>
  <c r="B501"/>
  <c r="D341"/>
  <c r="D372"/>
  <c r="A553"/>
  <c r="I553" s="1"/>
  <c r="B604"/>
  <c r="C291"/>
  <c r="S22" s="1"/>
  <c r="C217"/>
  <c r="H217" s="1"/>
  <c r="C185"/>
  <c r="P18" s="1"/>
  <c r="C558"/>
  <c r="C423"/>
  <c r="W18" s="1"/>
  <c r="E104"/>
  <c r="C117"/>
  <c r="N18" s="1"/>
  <c r="E274"/>
  <c r="B570"/>
  <c r="D239"/>
  <c r="C592"/>
  <c r="C115"/>
  <c r="H115" s="1"/>
  <c r="C429"/>
  <c r="W24" s="1"/>
  <c r="C389"/>
  <c r="V18" s="1"/>
  <c r="C287"/>
  <c r="S18" s="1"/>
  <c r="C219"/>
  <c r="Q18" s="1"/>
  <c r="C255"/>
  <c r="R20" s="1"/>
  <c r="C155"/>
  <c r="O22" s="1"/>
  <c r="E271"/>
  <c r="B502"/>
  <c r="C460"/>
  <c r="X21" s="1"/>
  <c r="C254"/>
  <c r="R19" s="1"/>
  <c r="E411"/>
  <c r="B367"/>
  <c r="B128"/>
  <c r="B571"/>
  <c r="B331"/>
  <c r="D232"/>
  <c r="E577"/>
  <c r="C560"/>
  <c r="AA19" s="1"/>
  <c r="C591"/>
  <c r="H591" s="1"/>
  <c r="E649"/>
  <c r="C666"/>
  <c r="AD23" s="1"/>
  <c r="C699"/>
  <c r="AE22" s="1"/>
  <c r="E713"/>
  <c r="C731"/>
  <c r="AF20" s="1"/>
  <c r="E784"/>
  <c r="C801"/>
  <c r="AH22" s="1"/>
  <c r="E815"/>
  <c r="C834"/>
  <c r="AI21" s="1"/>
  <c r="C358"/>
  <c r="U21" s="1"/>
  <c r="C354"/>
  <c r="C321"/>
  <c r="T18" s="1"/>
  <c r="C494"/>
  <c r="Y21" s="1"/>
  <c r="C83"/>
  <c r="M18" s="1"/>
  <c r="C84"/>
  <c r="M19" s="1"/>
  <c r="D304"/>
  <c r="E172"/>
  <c r="C497"/>
  <c r="Y24" s="1"/>
  <c r="C490"/>
  <c r="A247"/>
  <c r="I247" s="1"/>
  <c r="E479"/>
  <c r="E547"/>
  <c r="D202"/>
  <c r="D266"/>
  <c r="B536"/>
  <c r="B332"/>
  <c r="E309"/>
  <c r="C594"/>
  <c r="AB19" s="1"/>
  <c r="D606"/>
  <c r="C288"/>
  <c r="S19" s="1"/>
  <c r="C122"/>
  <c r="N23" s="1"/>
  <c r="C323"/>
  <c r="T20" s="1"/>
  <c r="C118"/>
  <c r="N19" s="1"/>
  <c r="E377"/>
  <c r="C225"/>
  <c r="Q24" s="1"/>
  <c r="C123"/>
  <c r="N24" s="1"/>
  <c r="E441"/>
  <c r="E203"/>
  <c r="E241"/>
  <c r="D613"/>
  <c r="B127"/>
  <c r="C293"/>
  <c r="S24" s="1"/>
  <c r="C458"/>
  <c r="X19" s="1"/>
  <c r="A213"/>
  <c r="I213" s="1"/>
  <c r="C152"/>
  <c r="O19" s="1"/>
  <c r="B93"/>
  <c r="D100"/>
  <c r="D504"/>
  <c r="C391"/>
  <c r="V20" s="1"/>
  <c r="C461"/>
  <c r="X22" s="1"/>
  <c r="A315"/>
  <c r="I315" s="1"/>
  <c r="D403"/>
  <c r="B299"/>
  <c r="D369"/>
  <c r="B230"/>
  <c r="B129"/>
  <c r="E206"/>
  <c r="C598"/>
  <c r="AB23" s="1"/>
  <c r="D607"/>
  <c r="A621"/>
  <c r="I621" s="1"/>
  <c r="E682"/>
  <c r="E717"/>
  <c r="C730"/>
  <c r="AF19" s="1"/>
  <c r="B741"/>
  <c r="C765"/>
  <c r="AG20" s="1"/>
  <c r="E818"/>
  <c r="C836"/>
  <c r="AI23" s="1"/>
  <c r="D845"/>
  <c r="D878"/>
  <c r="C897"/>
  <c r="H897" s="1"/>
  <c r="C934"/>
  <c r="AL19" s="1"/>
  <c r="B876"/>
  <c r="C938"/>
  <c r="AL23" s="1"/>
  <c r="C1171"/>
  <c r="AS18" s="1"/>
  <c r="E1189"/>
  <c r="C1208"/>
  <c r="AT21" s="1"/>
  <c r="C1239"/>
  <c r="AU18" s="1"/>
  <c r="A1267"/>
  <c r="I1267" s="1"/>
  <c r="C1278"/>
  <c r="AV23" s="1"/>
  <c r="D1321"/>
  <c r="C1340"/>
  <c r="D1354"/>
  <c r="C1375"/>
  <c r="AY18" s="1"/>
  <c r="C1447"/>
  <c r="D1460"/>
  <c r="C1478"/>
  <c r="BB19" s="1"/>
  <c r="C1512"/>
  <c r="BC19" s="1"/>
  <c r="C1543"/>
  <c r="H1543" s="1"/>
  <c r="D1562"/>
  <c r="C1548"/>
  <c r="BD21" s="1"/>
  <c r="C1546"/>
  <c r="BD19" s="1"/>
  <c r="E1566"/>
  <c r="C1177"/>
  <c r="AS24" s="1"/>
  <c r="D1219"/>
  <c r="C1244"/>
  <c r="AU23" s="1"/>
  <c r="E1260"/>
  <c r="C1271"/>
  <c r="H1271" s="1"/>
  <c r="D1320"/>
  <c r="C1344"/>
  <c r="AX21" s="1"/>
  <c r="C1346"/>
  <c r="AX23" s="1"/>
  <c r="C871"/>
  <c r="AJ24" s="1"/>
  <c r="C933"/>
  <c r="AL18" s="1"/>
  <c r="E1193"/>
  <c r="E1227"/>
  <c r="C1240"/>
  <c r="AU19" s="1"/>
  <c r="E1261"/>
  <c r="C1274"/>
  <c r="AV19" s="1"/>
  <c r="C1305"/>
  <c r="H1305" s="1"/>
  <c r="E1329"/>
  <c r="E1362"/>
  <c r="D1389"/>
  <c r="D1426"/>
  <c r="C1448"/>
  <c r="BA23" s="1"/>
  <c r="B1455"/>
  <c r="C1480"/>
  <c r="BB21" s="1"/>
  <c r="C1517"/>
  <c r="BC24" s="1"/>
  <c r="D1565"/>
  <c r="E1567"/>
  <c r="C1544"/>
  <c r="C1550"/>
  <c r="BD23" s="1"/>
  <c r="E1563"/>
  <c r="C1169"/>
  <c r="H1169" s="1"/>
  <c r="C1203"/>
  <c r="H1203" s="1"/>
  <c r="D1252"/>
  <c r="C1272"/>
  <c r="B1284"/>
  <c r="D1358"/>
  <c r="A1369"/>
  <c r="I1369" s="1"/>
  <c r="C1408"/>
  <c r="C1411"/>
  <c r="AZ20" s="1"/>
  <c r="B1453"/>
  <c r="C1483"/>
  <c r="BB24" s="1"/>
  <c r="B1487"/>
  <c r="C1510"/>
  <c r="A1607"/>
  <c r="I1607" s="1"/>
  <c r="C1612"/>
  <c r="C1617"/>
  <c r="D1627"/>
  <c r="E1631"/>
  <c r="D39" i="4"/>
  <c r="J39" s="1"/>
  <c r="C20"/>
  <c r="C18"/>
  <c r="C26" s="1"/>
  <c r="D36"/>
  <c r="J36" s="1"/>
  <c r="F37"/>
  <c r="A9"/>
  <c r="I9" s="1"/>
  <c r="D1422" i="11"/>
  <c r="D1429"/>
  <c r="C1449"/>
  <c r="BA24" s="1"/>
  <c r="D1494"/>
  <c r="C1511"/>
  <c r="BC18" s="1"/>
  <c r="B1148"/>
  <c r="C1616"/>
  <c r="BF21" s="1"/>
  <c r="C1615"/>
  <c r="BF20" s="1"/>
  <c r="C1619"/>
  <c r="BF24" s="1"/>
  <c r="B1625"/>
  <c r="B1623"/>
  <c r="C25" i="4"/>
  <c r="F41"/>
  <c r="D33"/>
  <c r="B30"/>
  <c r="A13"/>
  <c r="I13" s="1"/>
  <c r="D38" l="1"/>
  <c r="E37"/>
  <c r="E40"/>
  <c r="D31"/>
  <c r="J33"/>
  <c r="J1494" i="11"/>
  <c r="BB32"/>
  <c r="A1494"/>
  <c r="J1429"/>
  <c r="AZ35"/>
  <c r="AZ17"/>
  <c r="AV17"/>
  <c r="BD17"/>
  <c r="C1552"/>
  <c r="J1565"/>
  <c r="BD35"/>
  <c r="J1426"/>
  <c r="AZ32"/>
  <c r="J1562"/>
  <c r="BD32"/>
  <c r="J1460"/>
  <c r="BA32"/>
  <c r="J1354"/>
  <c r="D1352"/>
  <c r="AX28"/>
  <c r="J1321"/>
  <c r="AW29"/>
  <c r="D1319"/>
  <c r="J878"/>
  <c r="D876"/>
  <c r="AJ28"/>
  <c r="J607"/>
  <c r="A607"/>
  <c r="D605"/>
  <c r="AB29"/>
  <c r="D367"/>
  <c r="J369"/>
  <c r="A369"/>
  <c r="U29"/>
  <c r="J403"/>
  <c r="D401"/>
  <c r="V29"/>
  <c r="A403"/>
  <c r="J504"/>
  <c r="D502"/>
  <c r="Y28"/>
  <c r="J613"/>
  <c r="A613"/>
  <c r="AB35"/>
  <c r="J266"/>
  <c r="R28"/>
  <c r="D264"/>
  <c r="J304"/>
  <c r="S32"/>
  <c r="J232"/>
  <c r="Q28"/>
  <c r="D230"/>
  <c r="J239"/>
  <c r="Q35"/>
  <c r="AA17"/>
  <c r="J372"/>
  <c r="U32"/>
  <c r="J1630"/>
  <c r="BF32"/>
  <c r="J1497"/>
  <c r="BB35"/>
  <c r="J35" i="4"/>
  <c r="D37"/>
  <c r="J32"/>
  <c r="D30"/>
  <c r="J1392" i="11"/>
  <c r="AY32"/>
  <c r="J1327"/>
  <c r="AW35"/>
  <c r="J1185"/>
  <c r="AS29"/>
  <c r="D1183"/>
  <c r="J1558"/>
  <c r="D1556"/>
  <c r="BD28"/>
  <c r="AS17"/>
  <c r="J1423"/>
  <c r="AZ29"/>
  <c r="D1421"/>
  <c r="J912"/>
  <c r="D910"/>
  <c r="AK28"/>
  <c r="AH17"/>
  <c r="J474"/>
  <c r="X32"/>
  <c r="V17"/>
  <c r="J406"/>
  <c r="V32"/>
  <c r="J443"/>
  <c r="A443"/>
  <c r="W35"/>
  <c r="J164"/>
  <c r="D162"/>
  <c r="O28"/>
  <c r="J402"/>
  <c r="D400"/>
  <c r="V28"/>
  <c r="J168"/>
  <c r="O32"/>
  <c r="J470"/>
  <c r="D468"/>
  <c r="X28"/>
  <c r="J273"/>
  <c r="R35"/>
  <c r="Z17"/>
  <c r="J1422"/>
  <c r="AZ28"/>
  <c r="D1420"/>
  <c r="J1627"/>
  <c r="D1625"/>
  <c r="BF29"/>
  <c r="C1620"/>
  <c r="BF17"/>
  <c r="BC17"/>
  <c r="J1358"/>
  <c r="AX32"/>
  <c r="J1252"/>
  <c r="AU28"/>
  <c r="D1250"/>
  <c r="J1389"/>
  <c r="D1387"/>
  <c r="AY29"/>
  <c r="J1320"/>
  <c r="D1318"/>
  <c r="AW28"/>
  <c r="J1219"/>
  <c r="D1217"/>
  <c r="AT29"/>
  <c r="AX17"/>
  <c r="J845"/>
  <c r="D843"/>
  <c r="AI29"/>
  <c r="J100"/>
  <c r="M32"/>
  <c r="J606"/>
  <c r="D604"/>
  <c r="AB28"/>
  <c r="J202"/>
  <c r="P32"/>
  <c r="Y17"/>
  <c r="U17"/>
  <c r="AB17"/>
  <c r="J341"/>
  <c r="T35"/>
  <c r="A341"/>
  <c r="J542"/>
  <c r="Z32"/>
  <c r="J436"/>
  <c r="W28"/>
  <c r="D434"/>
  <c r="Q17"/>
  <c r="J1524"/>
  <c r="A1524"/>
  <c r="D1522"/>
  <c r="BC28"/>
  <c r="J1633"/>
  <c r="BF35"/>
  <c r="J1626"/>
  <c r="BF28"/>
  <c r="D1624"/>
  <c r="AU17"/>
  <c r="AT17"/>
  <c r="J1559"/>
  <c r="D1557"/>
  <c r="BD29"/>
  <c r="J1456"/>
  <c r="D1454"/>
  <c r="BA28"/>
  <c r="J1290"/>
  <c r="AV32"/>
  <c r="AJ17"/>
  <c r="AD17"/>
  <c r="J545"/>
  <c r="Z35"/>
  <c r="J300"/>
  <c r="S28"/>
  <c r="D298"/>
  <c r="J471"/>
  <c r="A471"/>
  <c r="X29"/>
  <c r="D469"/>
  <c r="X17"/>
  <c r="J576"/>
  <c r="AA32"/>
  <c r="S17"/>
  <c r="J103"/>
  <c r="M35"/>
  <c r="J97"/>
  <c r="M29"/>
  <c r="A97"/>
  <c r="D95"/>
  <c r="J851"/>
  <c r="AI35"/>
  <c r="J437"/>
  <c r="W29"/>
  <c r="A437"/>
  <c r="D435"/>
  <c r="J233"/>
  <c r="D231"/>
  <c r="Q29"/>
  <c r="J572"/>
  <c r="D570"/>
  <c r="AA28"/>
  <c r="J137"/>
  <c r="N35"/>
  <c r="J511"/>
  <c r="A511"/>
  <c r="Y35"/>
  <c r="J270"/>
  <c r="R32"/>
  <c r="C222"/>
  <c r="Q21" s="1"/>
  <c r="E339"/>
  <c r="E342"/>
  <c r="B569"/>
  <c r="C597"/>
  <c r="AB22" s="1"/>
  <c r="C530"/>
  <c r="Z23" s="1"/>
  <c r="C493"/>
  <c r="Y20" s="1"/>
  <c r="C353"/>
  <c r="H353" s="1"/>
  <c r="D338"/>
  <c r="C426"/>
  <c r="W21" s="1"/>
  <c r="D199"/>
  <c r="E101"/>
  <c r="D236"/>
  <c r="D505"/>
  <c r="E611"/>
  <c r="D681"/>
  <c r="D709"/>
  <c r="C763"/>
  <c r="AG18" s="1"/>
  <c r="E849"/>
  <c r="D882"/>
  <c r="B945"/>
  <c r="C327"/>
  <c r="T24" s="1"/>
  <c r="D538"/>
  <c r="B537"/>
  <c r="B163"/>
  <c r="C632"/>
  <c r="AC23" s="1"/>
  <c r="C187"/>
  <c r="P20" s="1"/>
  <c r="C252"/>
  <c r="C427"/>
  <c r="W22" s="1"/>
  <c r="D96"/>
  <c r="C224"/>
  <c r="Q23" s="1"/>
  <c r="E444"/>
  <c r="D171"/>
  <c r="D165"/>
  <c r="B195"/>
  <c r="C629"/>
  <c r="AC20" s="1"/>
  <c r="C663"/>
  <c r="AD20" s="1"/>
  <c r="C732"/>
  <c r="AF21" s="1"/>
  <c r="C766"/>
  <c r="AG21" s="1"/>
  <c r="D848"/>
  <c r="C901"/>
  <c r="AK20" s="1"/>
  <c r="C939"/>
  <c r="AL24" s="1"/>
  <c r="C969"/>
  <c r="AM20" s="1"/>
  <c r="D1014"/>
  <c r="C1040"/>
  <c r="AO23" s="1"/>
  <c r="B1046"/>
  <c r="C1067"/>
  <c r="H1067" s="1"/>
  <c r="C1101"/>
  <c r="H1101" s="1"/>
  <c r="E1158"/>
  <c r="C626"/>
  <c r="D675"/>
  <c r="C694"/>
  <c r="B706"/>
  <c r="C729"/>
  <c r="AF18" s="1"/>
  <c r="D776"/>
  <c r="E819"/>
  <c r="C835"/>
  <c r="AI22" s="1"/>
  <c r="B842"/>
  <c r="E886"/>
  <c r="C899"/>
  <c r="AK18" s="1"/>
  <c r="E955"/>
  <c r="C971"/>
  <c r="B978"/>
  <c r="D980"/>
  <c r="D1015"/>
  <c r="A1029"/>
  <c r="I1029" s="1"/>
  <c r="D1049"/>
  <c r="E1087"/>
  <c r="E1121"/>
  <c r="C1137"/>
  <c r="AR18" s="1"/>
  <c r="D641"/>
  <c r="D678"/>
  <c r="C693"/>
  <c r="H693" s="1"/>
  <c r="C696"/>
  <c r="AE19" s="1"/>
  <c r="D749"/>
  <c r="C762"/>
  <c r="C797"/>
  <c r="AH18" s="1"/>
  <c r="C832"/>
  <c r="AI19" s="1"/>
  <c r="D844"/>
  <c r="C865"/>
  <c r="AJ18" s="1"/>
  <c r="A893"/>
  <c r="I893" s="1"/>
  <c r="E951"/>
  <c r="C973"/>
  <c r="AM24" s="1"/>
  <c r="D981"/>
  <c r="C1003"/>
  <c r="AN20" s="1"/>
  <c r="D1055"/>
  <c r="C1071"/>
  <c r="AP20" s="1"/>
  <c r="C1108"/>
  <c r="AQ23" s="1"/>
  <c r="D1120"/>
  <c r="C1140"/>
  <c r="AR21" s="1"/>
  <c r="C1509"/>
  <c r="H1509" s="1"/>
  <c r="C1479"/>
  <c r="BB20" s="1"/>
  <c r="D1457"/>
  <c r="D1462" s="1"/>
  <c r="C1446"/>
  <c r="BA21" s="1"/>
  <c r="C1415"/>
  <c r="AZ24" s="1"/>
  <c r="E1396"/>
  <c r="C1341"/>
  <c r="AX18" s="1"/>
  <c r="B1317"/>
  <c r="C1313"/>
  <c r="AW24" s="1"/>
  <c r="D1287"/>
  <c r="D1253"/>
  <c r="C1211"/>
  <c r="AT24" s="1"/>
  <c r="B1182"/>
  <c r="C1175"/>
  <c r="C1581"/>
  <c r="BE20" s="1"/>
  <c r="E1600"/>
  <c r="D1021"/>
  <c r="B1045"/>
  <c r="E1056"/>
  <c r="C1072"/>
  <c r="AP21" s="1"/>
  <c r="C1104"/>
  <c r="AQ19" s="1"/>
  <c r="D1150"/>
  <c r="D1528"/>
  <c r="E1499"/>
  <c r="D1491"/>
  <c r="B1454"/>
  <c r="C1414"/>
  <c r="AZ23" s="1"/>
  <c r="C1373"/>
  <c r="H1373" s="1"/>
  <c r="D1355"/>
  <c r="B1352"/>
  <c r="A1301"/>
  <c r="I1301" s="1"/>
  <c r="C1275"/>
  <c r="AV20" s="1"/>
  <c r="B1251"/>
  <c r="B1215"/>
  <c r="C1206"/>
  <c r="AT19" s="1"/>
  <c r="D1188"/>
  <c r="C1579"/>
  <c r="BE18" s="1"/>
  <c r="E1601"/>
  <c r="D1596"/>
  <c r="D1527"/>
  <c r="D1323"/>
  <c r="D1357"/>
  <c r="D881"/>
  <c r="C425"/>
  <c r="W20" s="1"/>
  <c r="C223"/>
  <c r="Q22" s="1"/>
  <c r="A77"/>
  <c r="I77" s="1"/>
  <c r="D409"/>
  <c r="C563"/>
  <c r="AA22" s="1"/>
  <c r="C188"/>
  <c r="P21" s="1"/>
  <c r="C191"/>
  <c r="P24" s="1"/>
  <c r="C121"/>
  <c r="N22" s="1"/>
  <c r="D375"/>
  <c r="B161"/>
  <c r="D130"/>
  <c r="B434"/>
  <c r="E207"/>
  <c r="B197"/>
  <c r="A587"/>
  <c r="I587" s="1"/>
  <c r="D640"/>
  <c r="C701"/>
  <c r="AE24" s="1"/>
  <c r="C764"/>
  <c r="AG19" s="1"/>
  <c r="D814"/>
  <c r="E887"/>
  <c r="E920"/>
  <c r="C489"/>
  <c r="H489" s="1"/>
  <c r="D477"/>
  <c r="C390"/>
  <c r="V19" s="1"/>
  <c r="E138"/>
  <c r="D610"/>
  <c r="A383"/>
  <c r="I383" s="1"/>
  <c r="C259"/>
  <c r="R24" s="1"/>
  <c r="C361"/>
  <c r="U24" s="1"/>
  <c r="B468"/>
  <c r="A485"/>
  <c r="I485" s="1"/>
  <c r="E509"/>
  <c r="D440"/>
  <c r="B399"/>
  <c r="D579"/>
  <c r="C595"/>
  <c r="AB20" s="1"/>
  <c r="C667"/>
  <c r="AD24" s="1"/>
  <c r="D712"/>
  <c r="D780"/>
  <c r="C831"/>
  <c r="AI18" s="1"/>
  <c r="C866"/>
  <c r="AJ19" s="1"/>
  <c r="A927"/>
  <c r="I927" s="1"/>
  <c r="D984"/>
  <c r="C1000"/>
  <c r="E1023"/>
  <c r="C1039"/>
  <c r="A1063"/>
  <c r="I1063" s="1"/>
  <c r="D1117"/>
  <c r="C1136"/>
  <c r="D1154"/>
  <c r="C661"/>
  <c r="AD18" s="1"/>
  <c r="D674"/>
  <c r="D715"/>
  <c r="C734"/>
  <c r="AF23" s="1"/>
  <c r="B775"/>
  <c r="C803"/>
  <c r="AH24" s="1"/>
  <c r="B807"/>
  <c r="B843"/>
  <c r="C863"/>
  <c r="H863" s="1"/>
  <c r="B909"/>
  <c r="D953"/>
  <c r="E954"/>
  <c r="C965"/>
  <c r="H965" s="1"/>
  <c r="C968"/>
  <c r="AM19" s="1"/>
  <c r="C1004"/>
  <c r="AN21" s="1"/>
  <c r="D1018"/>
  <c r="C1037"/>
  <c r="AO20" s="1"/>
  <c r="C1069"/>
  <c r="AP18" s="1"/>
  <c r="C1105"/>
  <c r="AQ20" s="1"/>
  <c r="C1141"/>
  <c r="E1155"/>
  <c r="A655"/>
  <c r="I655" s="1"/>
  <c r="B671"/>
  <c r="C695"/>
  <c r="AE18" s="1"/>
  <c r="E747"/>
  <c r="E781"/>
  <c r="C798"/>
  <c r="AH19" s="1"/>
  <c r="D817"/>
  <c r="C837"/>
  <c r="AI24" s="1"/>
  <c r="D879"/>
  <c r="D919"/>
  <c r="C931"/>
  <c r="H931" s="1"/>
  <c r="D946"/>
  <c r="C967"/>
  <c r="AM18" s="1"/>
  <c r="B1012"/>
  <c r="D1048"/>
  <c r="C1068"/>
  <c r="D1083"/>
  <c r="C1106"/>
  <c r="AQ21" s="1"/>
  <c r="B1149"/>
  <c r="E1532"/>
  <c r="B1489"/>
  <c r="C1477"/>
  <c r="BB18" s="1"/>
  <c r="C1443"/>
  <c r="BA18" s="1"/>
  <c r="B1419"/>
  <c r="D1395"/>
  <c r="E1363"/>
  <c r="C1347"/>
  <c r="AX24" s="1"/>
  <c r="B1319"/>
  <c r="B1283"/>
  <c r="A1233"/>
  <c r="I1233" s="1"/>
  <c r="D1218"/>
  <c r="C1205"/>
  <c r="AT18" s="1"/>
  <c r="D1191"/>
  <c r="C1584"/>
  <c r="BE23" s="1"/>
  <c r="C1577"/>
  <c r="H1577" s="1"/>
  <c r="C999"/>
  <c r="H999" s="1"/>
  <c r="E1022"/>
  <c r="C1041"/>
  <c r="AO24" s="1"/>
  <c r="C1070"/>
  <c r="AP19" s="1"/>
  <c r="E1124"/>
  <c r="A1131"/>
  <c r="I1131" s="1"/>
  <c r="C1515"/>
  <c r="E1529"/>
  <c r="B1488"/>
  <c r="A1437"/>
  <c r="I1437" s="1"/>
  <c r="B1420"/>
  <c r="E1393"/>
  <c r="C1377"/>
  <c r="AY20" s="1"/>
  <c r="D1361"/>
  <c r="C1307"/>
  <c r="AW18" s="1"/>
  <c r="E1295"/>
  <c r="B1250"/>
  <c r="C1241"/>
  <c r="AU20" s="1"/>
  <c r="D1222"/>
  <c r="C1176"/>
  <c r="AS23" s="1"/>
  <c r="C1585"/>
  <c r="BE24" s="1"/>
  <c r="B1590"/>
  <c r="D1599"/>
  <c r="D374"/>
  <c r="D609"/>
  <c r="D1561"/>
  <c r="D575"/>
  <c r="D439"/>
  <c r="D167"/>
  <c r="D1190"/>
  <c r="C1653"/>
  <c r="BG24" s="1"/>
  <c r="C1647"/>
  <c r="BG18" s="1"/>
  <c r="B1658"/>
  <c r="C1651"/>
  <c r="D1664"/>
  <c r="E1669"/>
  <c r="D1660"/>
  <c r="D1663" s="1"/>
  <c r="D850"/>
  <c r="D269"/>
  <c r="D1564"/>
  <c r="D238"/>
  <c r="D476"/>
  <c r="D612"/>
  <c r="C1648"/>
  <c r="BG19" s="1"/>
  <c r="C1650"/>
  <c r="BG21" s="1"/>
  <c r="C1652"/>
  <c r="BG23" s="1"/>
  <c r="D1661"/>
  <c r="C457"/>
  <c r="X18" s="1"/>
  <c r="C150"/>
  <c r="C325"/>
  <c r="T22" s="1"/>
  <c r="E373"/>
  <c r="D198"/>
  <c r="C322"/>
  <c r="T19" s="1"/>
  <c r="C119"/>
  <c r="N20" s="1"/>
  <c r="C184"/>
  <c r="B95"/>
  <c r="C157"/>
  <c r="O24" s="1"/>
  <c r="C189"/>
  <c r="P22" s="1"/>
  <c r="D334"/>
  <c r="B435"/>
  <c r="D508"/>
  <c r="C593"/>
  <c r="AB18" s="1"/>
  <c r="E648"/>
  <c r="C698"/>
  <c r="AE21" s="1"/>
  <c r="E751"/>
  <c r="D811"/>
  <c r="A859"/>
  <c r="I859" s="1"/>
  <c r="C905"/>
  <c r="AK24" s="1"/>
  <c r="C528"/>
  <c r="Z21" s="1"/>
  <c r="C116"/>
  <c r="C394"/>
  <c r="V23" s="1"/>
  <c r="E135"/>
  <c r="B94"/>
  <c r="C251"/>
  <c r="H251" s="1"/>
  <c r="C85"/>
  <c r="M20" s="1"/>
  <c r="C565"/>
  <c r="AA24" s="1"/>
  <c r="D335"/>
  <c r="C422"/>
  <c r="C289"/>
  <c r="S20" s="1"/>
  <c r="E169"/>
  <c r="D134"/>
  <c r="E237"/>
  <c r="B605"/>
  <c r="C633"/>
  <c r="AC24" s="1"/>
  <c r="B707"/>
  <c r="B739"/>
  <c r="C795"/>
  <c r="H795" s="1"/>
  <c r="D885"/>
  <c r="C904"/>
  <c r="AK23" s="1"/>
  <c r="E989"/>
  <c r="E988"/>
  <c r="C1002"/>
  <c r="AN19" s="1"/>
  <c r="C1033"/>
  <c r="H1033" s="1"/>
  <c r="B1080"/>
  <c r="A1097"/>
  <c r="I1097" s="1"/>
  <c r="E1125"/>
  <c r="C1143"/>
  <c r="AR24" s="1"/>
  <c r="D644"/>
  <c r="B673"/>
  <c r="A689"/>
  <c r="I689" s="1"/>
  <c r="D743"/>
  <c r="C769"/>
  <c r="AG24" s="1"/>
  <c r="D777"/>
  <c r="B809"/>
  <c r="A825"/>
  <c r="I825" s="1"/>
  <c r="C869"/>
  <c r="C898"/>
  <c r="B943"/>
  <c r="B944"/>
  <c r="C972"/>
  <c r="AM23" s="1"/>
  <c r="C970"/>
  <c r="AM21" s="1"/>
  <c r="B979"/>
  <c r="C1001"/>
  <c r="AN18" s="1"/>
  <c r="B1047"/>
  <c r="C1073"/>
  <c r="B1113"/>
  <c r="C1103"/>
  <c r="AQ18" s="1"/>
  <c r="C1139"/>
  <c r="AR20" s="1"/>
  <c r="D647"/>
  <c r="C665"/>
  <c r="AD22" s="1"/>
  <c r="D708"/>
  <c r="D742"/>
  <c r="C761"/>
  <c r="H761" s="1"/>
  <c r="B774"/>
  <c r="A791"/>
  <c r="I791" s="1"/>
  <c r="B841"/>
  <c r="B877"/>
  <c r="C900"/>
  <c r="AK19" s="1"/>
  <c r="D916"/>
  <c r="C936"/>
  <c r="AL21" s="1"/>
  <c r="B977"/>
  <c r="A995"/>
  <c r="I995" s="1"/>
  <c r="C1036"/>
  <c r="AO19" s="1"/>
  <c r="E1053"/>
  <c r="D1082"/>
  <c r="B1115"/>
  <c r="D1151"/>
  <c r="D1531"/>
  <c r="D1525"/>
  <c r="D1490"/>
  <c r="C1407"/>
  <c r="H1407" s="1"/>
  <c r="D1388"/>
  <c r="C1374"/>
  <c r="B1351"/>
  <c r="E1325"/>
  <c r="C1277"/>
  <c r="D1259"/>
  <c r="C1243"/>
  <c r="B1217"/>
  <c r="B1183"/>
  <c r="A1573"/>
  <c r="I1573" s="1"/>
  <c r="D1592"/>
  <c r="B1589"/>
  <c r="C1007"/>
  <c r="AN24" s="1"/>
  <c r="C1038"/>
  <c r="AO21" s="1"/>
  <c r="D1089"/>
  <c r="D1116"/>
  <c r="B1114"/>
  <c r="C1135"/>
  <c r="H1135" s="1"/>
  <c r="C1516"/>
  <c r="BC23" s="1"/>
  <c r="C1476"/>
  <c r="C1442"/>
  <c r="E1427"/>
  <c r="C1409"/>
  <c r="AZ18" s="1"/>
  <c r="C1381"/>
  <c r="AY24" s="1"/>
  <c r="C1345"/>
  <c r="C1312"/>
  <c r="AW23" s="1"/>
  <c r="D1286"/>
  <c r="C1279"/>
  <c r="AV24" s="1"/>
  <c r="B1249"/>
  <c r="C1207"/>
  <c r="AT20" s="1"/>
  <c r="C1174"/>
  <c r="AS21" s="1"/>
  <c r="E1159"/>
  <c r="C1582"/>
  <c r="BE21" s="1"/>
  <c r="E1597"/>
  <c r="D1632"/>
  <c r="D1425"/>
  <c r="D1224"/>
  <c r="D915"/>
  <c r="A281"/>
  <c r="I281" s="1"/>
  <c r="C258"/>
  <c r="R23" s="1"/>
  <c r="E343"/>
  <c r="B264"/>
  <c r="B401"/>
  <c r="A519"/>
  <c r="I519" s="1"/>
  <c r="C81"/>
  <c r="H81" s="1"/>
  <c r="A349"/>
  <c r="I349" s="1"/>
  <c r="C86"/>
  <c r="M21" s="1"/>
  <c r="E513"/>
  <c r="C87"/>
  <c r="M22" s="1"/>
  <c r="D267"/>
  <c r="D131"/>
  <c r="D539"/>
  <c r="C561"/>
  <c r="AA20" s="1"/>
  <c r="C628"/>
  <c r="AC19" s="1"/>
  <c r="C664"/>
  <c r="AD21" s="1"/>
  <c r="D746"/>
  <c r="B773"/>
  <c r="C830"/>
  <c r="C902"/>
  <c r="AK21" s="1"/>
  <c r="C82"/>
  <c r="C320"/>
  <c r="C564"/>
  <c r="AA23" s="1"/>
  <c r="D573"/>
  <c r="E581"/>
  <c r="C525"/>
  <c r="Z18" s="1"/>
  <c r="C190"/>
  <c r="P23" s="1"/>
  <c r="C153"/>
  <c r="O20" s="1"/>
  <c r="D301"/>
  <c r="D205"/>
  <c r="C319"/>
  <c r="H319" s="1"/>
  <c r="D307"/>
  <c r="D368"/>
  <c r="E376"/>
  <c r="C559"/>
  <c r="AA18" s="1"/>
  <c r="B637"/>
  <c r="E683"/>
  <c r="A723"/>
  <c r="I723" s="1"/>
  <c r="C802"/>
  <c r="AH23" s="1"/>
  <c r="E852"/>
  <c r="B910"/>
  <c r="D950"/>
  <c r="A961"/>
  <c r="I961" s="1"/>
  <c r="C1005"/>
  <c r="D1052"/>
  <c r="C1075"/>
  <c r="AP24" s="1"/>
  <c r="E1091"/>
  <c r="D1123"/>
  <c r="B1147"/>
  <c r="B638"/>
  <c r="C659"/>
  <c r="H659" s="1"/>
  <c r="C700"/>
  <c r="AE23" s="1"/>
  <c r="C728"/>
  <c r="E750"/>
  <c r="D783"/>
  <c r="C800"/>
  <c r="AH21" s="1"/>
  <c r="E853"/>
  <c r="B875"/>
  <c r="E883"/>
  <c r="D913"/>
  <c r="C935"/>
  <c r="AL20" s="1"/>
  <c r="E985"/>
  <c r="D947"/>
  <c r="C966"/>
  <c r="B1013"/>
  <c r="C1035"/>
  <c r="AO18" s="1"/>
  <c r="C1074"/>
  <c r="AP23" s="1"/>
  <c r="B1081"/>
  <c r="C1109"/>
  <c r="AQ24" s="1"/>
  <c r="D1157"/>
  <c r="C630"/>
  <c r="AC21" s="1"/>
  <c r="E679"/>
  <c r="B705"/>
  <c r="C733"/>
  <c r="AF22" s="1"/>
  <c r="B740"/>
  <c r="C767"/>
  <c r="AG22" s="1"/>
  <c r="D810"/>
  <c r="C833"/>
  <c r="AI20" s="1"/>
  <c r="C870"/>
  <c r="AJ23" s="1"/>
  <c r="C867"/>
  <c r="AJ20" s="1"/>
  <c r="C903"/>
  <c r="C932"/>
  <c r="D987"/>
  <c r="C1006"/>
  <c r="AN23" s="1"/>
  <c r="E1019"/>
  <c r="C1034"/>
  <c r="B1079"/>
  <c r="C1107"/>
  <c r="C1138"/>
  <c r="AR19" s="1"/>
  <c r="C1513"/>
  <c r="BC20" s="1"/>
  <c r="E1533"/>
  <c r="E1495"/>
  <c r="C1444"/>
  <c r="BA19" s="1"/>
  <c r="E1430"/>
  <c r="C1410"/>
  <c r="AZ19" s="1"/>
  <c r="B1386"/>
  <c r="E1359"/>
  <c r="C1311"/>
  <c r="D1293"/>
  <c r="C1273"/>
  <c r="AV18" s="1"/>
  <c r="D1256"/>
  <c r="D1225"/>
  <c r="C1173"/>
  <c r="AS20" s="1"/>
  <c r="C1578"/>
  <c r="C1583"/>
  <c r="B1591"/>
  <c r="B1011"/>
  <c r="E1057"/>
  <c r="E1090"/>
  <c r="D1086"/>
  <c r="C1102"/>
  <c r="C1142"/>
  <c r="AR23" s="1"/>
  <c r="A1505"/>
  <c r="I1505" s="1"/>
  <c r="C1475"/>
  <c r="H1475" s="1"/>
  <c r="D1463"/>
  <c r="E1461"/>
  <c r="E1431"/>
  <c r="C1379"/>
  <c r="C1342"/>
  <c r="AX19" s="1"/>
  <c r="D1324"/>
  <c r="C1306"/>
  <c r="E1291"/>
  <c r="C1237"/>
  <c r="H1237" s="1"/>
  <c r="B1216"/>
  <c r="D1184"/>
  <c r="C1172"/>
  <c r="AS19" s="1"/>
  <c r="C1580"/>
  <c r="BE19" s="1"/>
  <c r="D1593"/>
  <c r="D507"/>
  <c r="D408"/>
  <c r="D1255"/>
  <c r="D1394"/>
  <c r="D473"/>
  <c r="D235"/>
  <c r="D1428"/>
  <c r="D1629"/>
  <c r="B1657"/>
  <c r="A1641"/>
  <c r="I1641" s="1"/>
  <c r="C1646"/>
  <c r="E1665"/>
  <c r="E1668"/>
  <c r="C1649"/>
  <c r="BG20" s="1"/>
  <c r="D303"/>
  <c r="D405"/>
  <c r="D1459"/>
  <c r="D102"/>
  <c r="D442"/>
  <c r="D1326"/>
  <c r="C1645"/>
  <c r="H1645" s="1"/>
  <c r="D1667"/>
  <c r="B1659"/>
  <c r="J1326" l="1"/>
  <c r="D1328"/>
  <c r="A1326"/>
  <c r="A1327" s="1"/>
  <c r="AW34"/>
  <c r="J405"/>
  <c r="V31"/>
  <c r="D407"/>
  <c r="J1428"/>
  <c r="A1428"/>
  <c r="A1429" s="1"/>
  <c r="D1430"/>
  <c r="AZ34"/>
  <c r="D1257"/>
  <c r="AU31"/>
  <c r="J1255"/>
  <c r="J1463"/>
  <c r="BA35"/>
  <c r="A442"/>
  <c r="D444"/>
  <c r="J442"/>
  <c r="W34"/>
  <c r="D1461"/>
  <c r="BA31"/>
  <c r="J1459"/>
  <c r="J303"/>
  <c r="S31"/>
  <c r="D305"/>
  <c r="C20"/>
  <c r="J1629"/>
  <c r="D1631"/>
  <c r="BF31"/>
  <c r="Q31"/>
  <c r="D237"/>
  <c r="J235"/>
  <c r="J1394"/>
  <c r="A1394"/>
  <c r="A1395" s="1"/>
  <c r="D1396"/>
  <c r="AY34"/>
  <c r="J408"/>
  <c r="V34"/>
  <c r="A408"/>
  <c r="D410"/>
  <c r="J1593"/>
  <c r="BE29"/>
  <c r="A1593"/>
  <c r="D1591"/>
  <c r="D1598"/>
  <c r="J1324"/>
  <c r="AW32"/>
  <c r="J1086"/>
  <c r="AP32"/>
  <c r="BE17"/>
  <c r="C1586"/>
  <c r="J1225"/>
  <c r="AT35"/>
  <c r="AO17"/>
  <c r="C1042"/>
  <c r="AL17"/>
  <c r="C940"/>
  <c r="J1157"/>
  <c r="AR35"/>
  <c r="C974"/>
  <c r="AM17"/>
  <c r="J913"/>
  <c r="D911"/>
  <c r="AK29"/>
  <c r="D918"/>
  <c r="J1123"/>
  <c r="AQ35"/>
  <c r="J950"/>
  <c r="AL32"/>
  <c r="J307"/>
  <c r="S35"/>
  <c r="J205"/>
  <c r="P35"/>
  <c r="J573"/>
  <c r="AA29"/>
  <c r="D571"/>
  <c r="D578"/>
  <c r="T17"/>
  <c r="C328"/>
  <c r="J131"/>
  <c r="A131"/>
  <c r="N29"/>
  <c r="D129"/>
  <c r="D136"/>
  <c r="C22"/>
  <c r="J1224"/>
  <c r="A1224"/>
  <c r="A1225" s="1"/>
  <c r="AT34"/>
  <c r="D1226"/>
  <c r="J1632"/>
  <c r="A1632"/>
  <c r="A1633" s="1"/>
  <c r="D1634"/>
  <c r="BF34"/>
  <c r="J1286"/>
  <c r="D1284"/>
  <c r="AV28"/>
  <c r="D1289"/>
  <c r="BA17"/>
  <c r="C1450"/>
  <c r="J1089"/>
  <c r="AP35"/>
  <c r="J1592"/>
  <c r="BE28"/>
  <c r="D1590"/>
  <c r="D1595"/>
  <c r="J1388"/>
  <c r="D1386"/>
  <c r="AY28"/>
  <c r="D1391"/>
  <c r="J1462"/>
  <c r="D1464"/>
  <c r="BA34"/>
  <c r="A1462"/>
  <c r="A1463" s="1"/>
  <c r="J1525"/>
  <c r="D1523"/>
  <c r="A1525"/>
  <c r="BC29"/>
  <c r="D1530"/>
  <c r="J1151"/>
  <c r="D1149"/>
  <c r="AR29"/>
  <c r="D1156"/>
  <c r="J1082"/>
  <c r="AP28"/>
  <c r="D1080"/>
  <c r="D1085"/>
  <c r="J916"/>
  <c r="AK32"/>
  <c r="J708"/>
  <c r="D706"/>
  <c r="AE28"/>
  <c r="D711"/>
  <c r="J647"/>
  <c r="AC35"/>
  <c r="A647"/>
  <c r="C906"/>
  <c r="AK17"/>
  <c r="J777"/>
  <c r="D775"/>
  <c r="AG29"/>
  <c r="D782"/>
  <c r="J743"/>
  <c r="AF29"/>
  <c r="D741"/>
  <c r="D748"/>
  <c r="J134"/>
  <c r="N32"/>
  <c r="J335"/>
  <c r="T29"/>
  <c r="D333"/>
  <c r="D340"/>
  <c r="J508"/>
  <c r="Y32"/>
  <c r="J334"/>
  <c r="T28"/>
  <c r="D332"/>
  <c r="D337"/>
  <c r="P17"/>
  <c r="C192"/>
  <c r="O17"/>
  <c r="C158"/>
  <c r="J1661"/>
  <c r="D1659"/>
  <c r="BG29"/>
  <c r="D1666"/>
  <c r="C21"/>
  <c r="A612"/>
  <c r="D614"/>
  <c r="J612"/>
  <c r="AB34"/>
  <c r="A238"/>
  <c r="A239" s="1"/>
  <c r="Q34"/>
  <c r="D240"/>
  <c r="J238"/>
  <c r="J269"/>
  <c r="D271"/>
  <c r="R31"/>
  <c r="J1660"/>
  <c r="D1658"/>
  <c r="BG28"/>
  <c r="J1664"/>
  <c r="BG32"/>
  <c r="C24"/>
  <c r="D169"/>
  <c r="O31"/>
  <c r="J167"/>
  <c r="D577"/>
  <c r="AA31"/>
  <c r="J575"/>
  <c r="J609"/>
  <c r="D611"/>
  <c r="AB31"/>
  <c r="J1599"/>
  <c r="BE35"/>
  <c r="J1222"/>
  <c r="AT32"/>
  <c r="C1076"/>
  <c r="AP17"/>
  <c r="J946"/>
  <c r="AL28"/>
  <c r="D944"/>
  <c r="D949"/>
  <c r="J919"/>
  <c r="AK35"/>
  <c r="J953"/>
  <c r="AL35"/>
  <c r="J715"/>
  <c r="AE35"/>
  <c r="AR17"/>
  <c r="C1144"/>
  <c r="J984"/>
  <c r="AM32"/>
  <c r="J780"/>
  <c r="AG32"/>
  <c r="J579"/>
  <c r="AA35"/>
  <c r="J440"/>
  <c r="W32"/>
  <c r="J477"/>
  <c r="A477"/>
  <c r="X35"/>
  <c r="J814"/>
  <c r="AH32"/>
  <c r="J130"/>
  <c r="D128"/>
  <c r="N28"/>
  <c r="D133"/>
  <c r="J375"/>
  <c r="A375"/>
  <c r="U35"/>
  <c r="J1357"/>
  <c r="D1359"/>
  <c r="AX31"/>
  <c r="J1527"/>
  <c r="A1527"/>
  <c r="A1528" s="1"/>
  <c r="D1529"/>
  <c r="BC31"/>
  <c r="J1188"/>
  <c r="AS32"/>
  <c r="J1150"/>
  <c r="D1148"/>
  <c r="AR28"/>
  <c r="D1153"/>
  <c r="J1287"/>
  <c r="AV29"/>
  <c r="D1285"/>
  <c r="D1292"/>
  <c r="J1055"/>
  <c r="AO35"/>
  <c r="J981"/>
  <c r="AM29"/>
  <c r="D979"/>
  <c r="D986"/>
  <c r="AG17"/>
  <c r="C770"/>
  <c r="J678"/>
  <c r="AD32"/>
  <c r="J980"/>
  <c r="D978"/>
  <c r="AM28"/>
  <c r="D983"/>
  <c r="AE17"/>
  <c r="C702"/>
  <c r="AC17"/>
  <c r="C634"/>
  <c r="J1014"/>
  <c r="D1012"/>
  <c r="AN28"/>
  <c r="D1017"/>
  <c r="J848"/>
  <c r="AI32"/>
  <c r="J165"/>
  <c r="O29"/>
  <c r="D163"/>
  <c r="D170"/>
  <c r="J96"/>
  <c r="M28"/>
  <c r="D94"/>
  <c r="D99"/>
  <c r="R17"/>
  <c r="C260"/>
  <c r="J882"/>
  <c r="AJ32"/>
  <c r="J681"/>
  <c r="AD35"/>
  <c r="J505"/>
  <c r="D503"/>
  <c r="A505"/>
  <c r="Y29"/>
  <c r="D510"/>
  <c r="J570"/>
  <c r="A570"/>
  <c r="A572" s="1"/>
  <c r="A575" s="1"/>
  <c r="A576" s="1"/>
  <c r="C668"/>
  <c r="C872"/>
  <c r="J1557"/>
  <c r="A1557"/>
  <c r="A1559" s="1"/>
  <c r="C1212"/>
  <c r="C1246"/>
  <c r="J1624"/>
  <c r="A1624"/>
  <c r="A1626" s="1"/>
  <c r="A1629" s="1"/>
  <c r="A1630" s="1"/>
  <c r="J1522"/>
  <c r="A1522"/>
  <c r="A604"/>
  <c r="A606" s="1"/>
  <c r="A609" s="1"/>
  <c r="A610" s="1"/>
  <c r="J604"/>
  <c r="J1217"/>
  <c r="A1217"/>
  <c r="A1219" s="1"/>
  <c r="J1387"/>
  <c r="A1387"/>
  <c r="A1389" s="1"/>
  <c r="J1250"/>
  <c r="A1250"/>
  <c r="A1252" s="1"/>
  <c r="A1255" s="1"/>
  <c r="A1256" s="1"/>
  <c r="J1625"/>
  <c r="A1625"/>
  <c r="A1627" s="1"/>
  <c r="J1420"/>
  <c r="A1420"/>
  <c r="A1422" s="1"/>
  <c r="A1425" s="1"/>
  <c r="A1426" s="1"/>
  <c r="A468"/>
  <c r="A470" s="1"/>
  <c r="A473" s="1"/>
  <c r="A474" s="1"/>
  <c r="J468"/>
  <c r="J162"/>
  <c r="A162"/>
  <c r="A164" s="1"/>
  <c r="A167" s="1"/>
  <c r="A168" s="1"/>
  <c r="A910"/>
  <c r="A912" s="1"/>
  <c r="A915" s="1"/>
  <c r="A916" s="1"/>
  <c r="J910"/>
  <c r="J1421"/>
  <c r="A1421"/>
  <c r="A1423" s="1"/>
  <c r="J1556"/>
  <c r="A1556"/>
  <c r="A1558" s="1"/>
  <c r="A1561" s="1"/>
  <c r="A1562" s="1"/>
  <c r="J1183"/>
  <c r="A1183"/>
  <c r="A1185" s="1"/>
  <c r="J264"/>
  <c r="A264"/>
  <c r="A266" s="1"/>
  <c r="A269" s="1"/>
  <c r="A270" s="1"/>
  <c r="J367"/>
  <c r="A367"/>
  <c r="J605"/>
  <c r="A605"/>
  <c r="J876"/>
  <c r="A876"/>
  <c r="A878" s="1"/>
  <c r="A881" s="1"/>
  <c r="A882" s="1"/>
  <c r="J1319"/>
  <c r="A1319"/>
  <c r="A1321" s="1"/>
  <c r="J1352"/>
  <c r="A1352"/>
  <c r="A1354" s="1"/>
  <c r="A1357" s="1"/>
  <c r="A1358" s="1"/>
  <c r="C1416"/>
  <c r="J31" i="4"/>
  <c r="A31"/>
  <c r="A32" s="1"/>
  <c r="A33" s="1"/>
  <c r="A35" s="1"/>
  <c r="A36" s="1"/>
  <c r="A37" s="1"/>
  <c r="A38" s="1"/>
  <c r="A39" s="1"/>
  <c r="J1667" i="11"/>
  <c r="BG35"/>
  <c r="M34"/>
  <c r="J102"/>
  <c r="D104"/>
  <c r="J1663"/>
  <c r="D1665"/>
  <c r="BG31"/>
  <c r="C1654"/>
  <c r="BG17"/>
  <c r="J473"/>
  <c r="D475"/>
  <c r="X31"/>
  <c r="D509"/>
  <c r="Y31"/>
  <c r="A507"/>
  <c r="A508" s="1"/>
  <c r="J507"/>
  <c r="J1184"/>
  <c r="AS28"/>
  <c r="D1182"/>
  <c r="D1187"/>
  <c r="AW17"/>
  <c r="C1314"/>
  <c r="AQ17"/>
  <c r="C1110"/>
  <c r="J1256"/>
  <c r="AU32"/>
  <c r="J1293"/>
  <c r="AV35"/>
  <c r="J987"/>
  <c r="AM35"/>
  <c r="J810"/>
  <c r="AH28"/>
  <c r="D808"/>
  <c r="D813"/>
  <c r="J947"/>
  <c r="D945"/>
  <c r="AL29"/>
  <c r="D952"/>
  <c r="J783"/>
  <c r="AG35"/>
  <c r="AF17"/>
  <c r="C736"/>
  <c r="J1052"/>
  <c r="AO32"/>
  <c r="J368"/>
  <c r="D366"/>
  <c r="U28"/>
  <c r="D371"/>
  <c r="J301"/>
  <c r="D299"/>
  <c r="S29"/>
  <c r="D306"/>
  <c r="M17"/>
  <c r="C90"/>
  <c r="AI17"/>
  <c r="C838"/>
  <c r="J746"/>
  <c r="AF32"/>
  <c r="J539"/>
  <c r="D537"/>
  <c r="Z29"/>
  <c r="D544"/>
  <c r="J267"/>
  <c r="R29"/>
  <c r="D265"/>
  <c r="D272"/>
  <c r="J915"/>
  <c r="D917"/>
  <c r="AK31"/>
  <c r="D1427"/>
  <c r="AZ31"/>
  <c r="J1425"/>
  <c r="BB17"/>
  <c r="C1484"/>
  <c r="J1116"/>
  <c r="D1114"/>
  <c r="AQ28"/>
  <c r="D1119"/>
  <c r="J1259"/>
  <c r="AU35"/>
  <c r="AY17"/>
  <c r="C1382"/>
  <c r="A1490"/>
  <c r="J1490"/>
  <c r="D1488"/>
  <c r="BB28"/>
  <c r="D1493"/>
  <c r="J1531"/>
  <c r="BC35"/>
  <c r="J742"/>
  <c r="AF28"/>
  <c r="D740"/>
  <c r="D745"/>
  <c r="J644"/>
  <c r="AC32"/>
  <c r="J885"/>
  <c r="AJ35"/>
  <c r="W17"/>
  <c r="C430"/>
  <c r="N17"/>
  <c r="C124"/>
  <c r="J811"/>
  <c r="AH29"/>
  <c r="D809"/>
  <c r="D816"/>
  <c r="J198"/>
  <c r="P28"/>
  <c r="D196"/>
  <c r="D201"/>
  <c r="C23"/>
  <c r="C19"/>
  <c r="D478"/>
  <c r="X34"/>
  <c r="A476"/>
  <c r="J476"/>
  <c r="J1564"/>
  <c r="BD34"/>
  <c r="A1564"/>
  <c r="A1565" s="1"/>
  <c r="D1566"/>
  <c r="D852"/>
  <c r="AI34"/>
  <c r="J850"/>
  <c r="C18"/>
  <c r="J1190"/>
  <c r="AS34"/>
  <c r="A1190"/>
  <c r="A1191" s="1"/>
  <c r="D1192"/>
  <c r="J439"/>
  <c r="D441"/>
  <c r="W31"/>
  <c r="D1563"/>
  <c r="BD31"/>
  <c r="J1561"/>
  <c r="J374"/>
  <c r="A374"/>
  <c r="U34"/>
  <c r="D376"/>
  <c r="J1361"/>
  <c r="AX35"/>
  <c r="J1191"/>
  <c r="AS35"/>
  <c r="J1218"/>
  <c r="AT28"/>
  <c r="D1216"/>
  <c r="D1221"/>
  <c r="J1395"/>
  <c r="AY35"/>
  <c r="J1083"/>
  <c r="D1081"/>
  <c r="AP29"/>
  <c r="D1088"/>
  <c r="J1048"/>
  <c r="D1046"/>
  <c r="AO28"/>
  <c r="D1051"/>
  <c r="J879"/>
  <c r="AJ29"/>
  <c r="D877"/>
  <c r="D884"/>
  <c r="J817"/>
  <c r="AH35"/>
  <c r="J1018"/>
  <c r="AN32"/>
  <c r="J674"/>
  <c r="AD28"/>
  <c r="D672"/>
  <c r="D677"/>
  <c r="J1154"/>
  <c r="AR32"/>
  <c r="J1117"/>
  <c r="D1115"/>
  <c r="AQ29"/>
  <c r="D1122"/>
  <c r="AN17"/>
  <c r="C1008"/>
  <c r="J712"/>
  <c r="AE32"/>
  <c r="J610"/>
  <c r="AB32"/>
  <c r="J640"/>
  <c r="AC28"/>
  <c r="D638"/>
  <c r="D643"/>
  <c r="J409"/>
  <c r="V35"/>
  <c r="A409"/>
  <c r="J881"/>
  <c r="D883"/>
  <c r="AJ31"/>
  <c r="J1323"/>
  <c r="D1325"/>
  <c r="AW31"/>
  <c r="J1596"/>
  <c r="BE32"/>
  <c r="J1355"/>
  <c r="AX29"/>
  <c r="D1353"/>
  <c r="D1360"/>
  <c r="J1491"/>
  <c r="D1489"/>
  <c r="J1489" s="1"/>
  <c r="A1491"/>
  <c r="BB29"/>
  <c r="D1496"/>
  <c r="J1528"/>
  <c r="BC32"/>
  <c r="J1021"/>
  <c r="AN35"/>
  <c r="J1253"/>
  <c r="D1251"/>
  <c r="AU29"/>
  <c r="D1258"/>
  <c r="J1457"/>
  <c r="D1455"/>
  <c r="BA29"/>
  <c r="J1120"/>
  <c r="AQ32"/>
  <c r="J844"/>
  <c r="D842"/>
  <c r="AI28"/>
  <c r="D847"/>
  <c r="J749"/>
  <c r="AF35"/>
  <c r="J641"/>
  <c r="AC29"/>
  <c r="D639"/>
  <c r="A641"/>
  <c r="D646"/>
  <c r="J1049"/>
  <c r="D1047"/>
  <c r="AO29"/>
  <c r="D1054"/>
  <c r="J1015"/>
  <c r="D1013"/>
  <c r="AN29"/>
  <c r="D1020"/>
  <c r="J776"/>
  <c r="AG28"/>
  <c r="D774"/>
  <c r="D779"/>
  <c r="J675"/>
  <c r="AD29"/>
  <c r="D673"/>
  <c r="D680"/>
  <c r="J171"/>
  <c r="O35"/>
  <c r="J538"/>
  <c r="Z28"/>
  <c r="D536"/>
  <c r="D541"/>
  <c r="J709"/>
  <c r="AE29"/>
  <c r="D707"/>
  <c r="D714"/>
  <c r="J236"/>
  <c r="Q32"/>
  <c r="J199"/>
  <c r="D197"/>
  <c r="P29"/>
  <c r="D204"/>
  <c r="J338"/>
  <c r="T32"/>
  <c r="A231"/>
  <c r="A233" s="1"/>
  <c r="J231"/>
  <c r="J435"/>
  <c r="A435"/>
  <c r="A95"/>
  <c r="J95"/>
  <c r="C294"/>
  <c r="C464"/>
  <c r="J469"/>
  <c r="A469"/>
  <c r="J298"/>
  <c r="A298"/>
  <c r="A300" s="1"/>
  <c r="A303" s="1"/>
  <c r="A304" s="1"/>
  <c r="J1454"/>
  <c r="A1454"/>
  <c r="A1456" s="1"/>
  <c r="A1459" s="1"/>
  <c r="A1460" s="1"/>
  <c r="C226"/>
  <c r="J434"/>
  <c r="A434"/>
  <c r="A436" s="1"/>
  <c r="A439" s="1"/>
  <c r="A440" s="1"/>
  <c r="C600"/>
  <c r="C362"/>
  <c r="C498"/>
  <c r="A843"/>
  <c r="A845" s="1"/>
  <c r="A850" s="1"/>
  <c r="A851" s="1"/>
  <c r="J843"/>
  <c r="C1348"/>
  <c r="J1318"/>
  <c r="A1318"/>
  <c r="A1320" s="1"/>
  <c r="A1323" s="1"/>
  <c r="A1324" s="1"/>
  <c r="C1518"/>
  <c r="C532"/>
  <c r="A400"/>
  <c r="A402" s="1"/>
  <c r="A405" s="1"/>
  <c r="A406" s="1"/>
  <c r="J400"/>
  <c r="C396"/>
  <c r="C804"/>
  <c r="C1178"/>
  <c r="J30" i="4"/>
  <c r="A30"/>
  <c r="J37"/>
  <c r="C566" i="11"/>
  <c r="J230"/>
  <c r="A230"/>
  <c r="A232" s="1"/>
  <c r="A235" s="1"/>
  <c r="A236" s="1"/>
  <c r="J502"/>
  <c r="A502"/>
  <c r="A504" s="1"/>
  <c r="A401"/>
  <c r="J401"/>
  <c r="C1280"/>
  <c r="D40" i="4"/>
  <c r="J38"/>
  <c r="A169" i="11" l="1"/>
  <c r="J40" i="4"/>
  <c r="J707" i="11"/>
  <c r="A707"/>
  <c r="A709" s="1"/>
  <c r="A714" s="1"/>
  <c r="A715" s="1"/>
  <c r="J536"/>
  <c r="A536"/>
  <c r="A538" s="1"/>
  <c r="A541" s="1"/>
  <c r="A542" s="1"/>
  <c r="J774"/>
  <c r="A774"/>
  <c r="A776" s="1"/>
  <c r="A779" s="1"/>
  <c r="A780" s="1"/>
  <c r="J1360"/>
  <c r="AX34"/>
  <c r="D1362"/>
  <c r="J883"/>
  <c r="A883"/>
  <c r="J672"/>
  <c r="A672"/>
  <c r="A674" s="1"/>
  <c r="A677" s="1"/>
  <c r="A678" s="1"/>
  <c r="J877"/>
  <c r="A877"/>
  <c r="A879" s="1"/>
  <c r="J1216"/>
  <c r="A1216"/>
  <c r="A1218" s="1"/>
  <c r="A1221" s="1"/>
  <c r="A1222" s="1"/>
  <c r="J196"/>
  <c r="A196"/>
  <c r="A198" s="1"/>
  <c r="A201" s="1"/>
  <c r="A202" s="1"/>
  <c r="J740"/>
  <c r="A740"/>
  <c r="A742" s="1"/>
  <c r="A745" s="1"/>
  <c r="A746" s="1"/>
  <c r="J1119"/>
  <c r="AQ31"/>
  <c r="D1121"/>
  <c r="J204"/>
  <c r="P34"/>
  <c r="A204"/>
  <c r="A205" s="1"/>
  <c r="D206"/>
  <c r="J197"/>
  <c r="A197"/>
  <c r="A199" s="1"/>
  <c r="J714"/>
  <c r="D716"/>
  <c r="AE34"/>
  <c r="J541"/>
  <c r="Z31"/>
  <c r="D543"/>
  <c r="J680"/>
  <c r="A680"/>
  <c r="A681" s="1"/>
  <c r="AD34"/>
  <c r="D682"/>
  <c r="J779"/>
  <c r="AG31"/>
  <c r="D781"/>
  <c r="J1020"/>
  <c r="D1022"/>
  <c r="A1020"/>
  <c r="A1021" s="1"/>
  <c r="AN34"/>
  <c r="J1013"/>
  <c r="A1013"/>
  <c r="A1015" s="1"/>
  <c r="J1054"/>
  <c r="A1054"/>
  <c r="A1055" s="1"/>
  <c r="AO34"/>
  <c r="D1056"/>
  <c r="J1047"/>
  <c r="A1047"/>
  <c r="A1049" s="1"/>
  <c r="J646"/>
  <c r="D648"/>
  <c r="A646"/>
  <c r="AC34"/>
  <c r="J639"/>
  <c r="A639"/>
  <c r="J1455"/>
  <c r="A1455"/>
  <c r="A1457" s="1"/>
  <c r="J1258"/>
  <c r="D1260"/>
  <c r="D1261" s="1"/>
  <c r="A1258"/>
  <c r="A1259" s="1"/>
  <c r="AU34"/>
  <c r="J1251"/>
  <c r="A1251"/>
  <c r="A1253" s="1"/>
  <c r="J1496"/>
  <c r="A1496"/>
  <c r="A1497" s="1"/>
  <c r="D1498"/>
  <c r="BB34"/>
  <c r="J1353"/>
  <c r="A1353"/>
  <c r="A1355" s="1"/>
  <c r="A1360" s="1"/>
  <c r="A1361" s="1"/>
  <c r="J1325"/>
  <c r="A1325"/>
  <c r="D1329"/>
  <c r="J643"/>
  <c r="AC31"/>
  <c r="D645"/>
  <c r="J1122"/>
  <c r="D1124"/>
  <c r="AQ34"/>
  <c r="J1115"/>
  <c r="A1115"/>
  <c r="A1117" s="1"/>
  <c r="A1122" s="1"/>
  <c r="A1123" s="1"/>
  <c r="J677"/>
  <c r="AD31"/>
  <c r="D679"/>
  <c r="J884"/>
  <c r="A884"/>
  <c r="A885" s="1"/>
  <c r="AJ34"/>
  <c r="D886"/>
  <c r="J1051"/>
  <c r="AO31"/>
  <c r="D1053"/>
  <c r="J1046"/>
  <c r="A1046"/>
  <c r="A1048" s="1"/>
  <c r="A1051" s="1"/>
  <c r="A1052" s="1"/>
  <c r="J1088"/>
  <c r="AP34"/>
  <c r="A1088"/>
  <c r="A1089" s="1"/>
  <c r="D1090"/>
  <c r="J1081"/>
  <c r="A1081"/>
  <c r="A1083" s="1"/>
  <c r="J1221"/>
  <c r="AT31"/>
  <c r="D1223"/>
  <c r="J376"/>
  <c r="A376"/>
  <c r="A1563"/>
  <c r="J1563"/>
  <c r="D1567"/>
  <c r="A441"/>
  <c r="J441"/>
  <c r="D445"/>
  <c r="J1192"/>
  <c r="A1192"/>
  <c r="J1566"/>
  <c r="A1566"/>
  <c r="J201"/>
  <c r="P31"/>
  <c r="D203"/>
  <c r="J816"/>
  <c r="D818"/>
  <c r="AH34"/>
  <c r="J745"/>
  <c r="D747"/>
  <c r="AF31"/>
  <c r="A1493"/>
  <c r="J1493"/>
  <c r="D1495"/>
  <c r="BB31"/>
  <c r="J1488"/>
  <c r="A1488"/>
  <c r="A1489" s="1"/>
  <c r="J265"/>
  <c r="A265"/>
  <c r="A267" s="1"/>
  <c r="J808"/>
  <c r="A808"/>
  <c r="A810" s="1"/>
  <c r="A813" s="1"/>
  <c r="A814" s="1"/>
  <c r="J1182"/>
  <c r="A1182"/>
  <c r="A1184" s="1"/>
  <c r="A1187" s="1"/>
  <c r="A1188" s="1"/>
  <c r="J509"/>
  <c r="A509"/>
  <c r="J475"/>
  <c r="A475"/>
  <c r="D479"/>
  <c r="C17"/>
  <c r="C25" s="1"/>
  <c r="D35"/>
  <c r="J35" s="1"/>
  <c r="A40" i="4"/>
  <c r="J503" i="11"/>
  <c r="A503"/>
  <c r="J99"/>
  <c r="M31"/>
  <c r="D101"/>
  <c r="J170"/>
  <c r="O34"/>
  <c r="D172"/>
  <c r="D173" s="1"/>
  <c r="J1017"/>
  <c r="AN31"/>
  <c r="D1019"/>
  <c r="J1012"/>
  <c r="A1012"/>
  <c r="A1014" s="1"/>
  <c r="A1017" s="1"/>
  <c r="A1018" s="1"/>
  <c r="J983"/>
  <c r="AM31"/>
  <c r="D985"/>
  <c r="J978"/>
  <c r="A978"/>
  <c r="A980" s="1"/>
  <c r="A983" s="1"/>
  <c r="A984" s="1"/>
  <c r="J986"/>
  <c r="A986"/>
  <c r="A987" s="1"/>
  <c r="D988"/>
  <c r="AM34"/>
  <c r="J1292"/>
  <c r="AV34"/>
  <c r="A1292"/>
  <c r="A1293" s="1"/>
  <c r="D1294"/>
  <c r="J1153"/>
  <c r="AR31"/>
  <c r="D1155"/>
  <c r="J1148"/>
  <c r="A1148"/>
  <c r="A1150" s="1"/>
  <c r="A1153" s="1"/>
  <c r="A1154" s="1"/>
  <c r="J133"/>
  <c r="N31"/>
  <c r="D135"/>
  <c r="J128"/>
  <c r="A128"/>
  <c r="A130" s="1"/>
  <c r="A133" s="1"/>
  <c r="A134" s="1"/>
  <c r="J944"/>
  <c r="A944"/>
  <c r="A946" s="1"/>
  <c r="A949" s="1"/>
  <c r="A950" s="1"/>
  <c r="J611"/>
  <c r="A611"/>
  <c r="D615"/>
  <c r="J577"/>
  <c r="A577"/>
  <c r="J169"/>
  <c r="D32"/>
  <c r="J32" s="1"/>
  <c r="D28"/>
  <c r="J271"/>
  <c r="A271"/>
  <c r="A614"/>
  <c r="J614"/>
  <c r="D29"/>
  <c r="J29" s="1"/>
  <c r="J332"/>
  <c r="A332"/>
  <c r="A334" s="1"/>
  <c r="A337" s="1"/>
  <c r="A338" s="1"/>
  <c r="J333"/>
  <c r="A333"/>
  <c r="A335" s="1"/>
  <c r="J741"/>
  <c r="A741"/>
  <c r="A743" s="1"/>
  <c r="A748" s="1"/>
  <c r="A749" s="1"/>
  <c r="J711"/>
  <c r="D713"/>
  <c r="AE31"/>
  <c r="J706"/>
  <c r="A706"/>
  <c r="A708" s="1"/>
  <c r="A711" s="1"/>
  <c r="A712" s="1"/>
  <c r="J1085"/>
  <c r="D1087"/>
  <c r="AP31"/>
  <c r="J1156"/>
  <c r="D1158"/>
  <c r="AR34"/>
  <c r="J1149"/>
  <c r="A1149"/>
  <c r="A1151" s="1"/>
  <c r="A1156" s="1"/>
  <c r="A1157" s="1"/>
  <c r="BC34"/>
  <c r="J1530"/>
  <c r="A1530"/>
  <c r="A1531" s="1"/>
  <c r="D1532"/>
  <c r="D1533" s="1"/>
  <c r="J1590"/>
  <c r="A1590"/>
  <c r="A1592" s="1"/>
  <c r="A1595" s="1"/>
  <c r="A1596" s="1"/>
  <c r="J1634"/>
  <c r="A1634"/>
  <c r="J136"/>
  <c r="D138"/>
  <c r="N34"/>
  <c r="J571"/>
  <c r="A571"/>
  <c r="A573" s="1"/>
  <c r="J1591"/>
  <c r="A1591"/>
  <c r="J410"/>
  <c r="A410"/>
  <c r="J237"/>
  <c r="D241"/>
  <c r="A237"/>
  <c r="J305"/>
  <c r="A305"/>
  <c r="J444"/>
  <c r="A444"/>
  <c r="A1257"/>
  <c r="J1257"/>
  <c r="J1430"/>
  <c r="A1430"/>
  <c r="J1328"/>
  <c r="A1328"/>
  <c r="D41" i="4"/>
  <c r="J673" i="11"/>
  <c r="A673"/>
  <c r="A675" s="1"/>
  <c r="J847"/>
  <c r="AI31"/>
  <c r="D849"/>
  <c r="J842"/>
  <c r="A842"/>
  <c r="A844" s="1"/>
  <c r="A847" s="1"/>
  <c r="A848" s="1"/>
  <c r="J638"/>
  <c r="A638"/>
  <c r="A640" s="1"/>
  <c r="A643" s="1"/>
  <c r="A644" s="1"/>
  <c r="J852"/>
  <c r="A852"/>
  <c r="J478"/>
  <c r="A478"/>
  <c r="J809"/>
  <c r="A809"/>
  <c r="A811" s="1"/>
  <c r="A816" s="1"/>
  <c r="A817" s="1"/>
  <c r="J1114"/>
  <c r="A1114"/>
  <c r="A1116" s="1"/>
  <c r="A1119" s="1"/>
  <c r="A1120" s="1"/>
  <c r="A1427"/>
  <c r="J1427"/>
  <c r="D1431"/>
  <c r="J917"/>
  <c r="A917"/>
  <c r="J272"/>
  <c r="A272"/>
  <c r="A273" s="1"/>
  <c r="D274"/>
  <c r="R34"/>
  <c r="J544"/>
  <c r="Z34"/>
  <c r="A544"/>
  <c r="A545" s="1"/>
  <c r="D546"/>
  <c r="J537"/>
  <c r="A537"/>
  <c r="A539" s="1"/>
  <c r="J306"/>
  <c r="S34"/>
  <c r="D308"/>
  <c r="A306"/>
  <c r="A307" s="1"/>
  <c r="J299"/>
  <c r="A299"/>
  <c r="A301" s="1"/>
  <c r="J371"/>
  <c r="D373"/>
  <c r="U31"/>
  <c r="J366"/>
  <c r="A366"/>
  <c r="A368" s="1"/>
  <c r="A371" s="1"/>
  <c r="A372" s="1"/>
  <c r="J952"/>
  <c r="AL34"/>
  <c r="A952"/>
  <c r="A953" s="1"/>
  <c r="D954"/>
  <c r="J945"/>
  <c r="A945"/>
  <c r="A947" s="1"/>
  <c r="J813"/>
  <c r="D815"/>
  <c r="AH31"/>
  <c r="J1187"/>
  <c r="D1189"/>
  <c r="AS31"/>
  <c r="J1665"/>
  <c r="J104"/>
  <c r="A104"/>
  <c r="J510"/>
  <c r="D512"/>
  <c r="Y34"/>
  <c r="A510"/>
  <c r="J94"/>
  <c r="A94"/>
  <c r="A96" s="1"/>
  <c r="A99" s="1"/>
  <c r="A100" s="1"/>
  <c r="J163"/>
  <c r="A163"/>
  <c r="A165" s="1"/>
  <c r="J979"/>
  <c r="A979"/>
  <c r="A981" s="1"/>
  <c r="J1285"/>
  <c r="A1285"/>
  <c r="A1287" s="1"/>
  <c r="J1529"/>
  <c r="A1529"/>
  <c r="A1359"/>
  <c r="D1363"/>
  <c r="J1359"/>
  <c r="J949"/>
  <c r="AL31"/>
  <c r="D951"/>
  <c r="A170"/>
  <c r="A171" s="1"/>
  <c r="J1658"/>
  <c r="A1658"/>
  <c r="A1660" s="1"/>
  <c r="A1663" s="1"/>
  <c r="A1664" s="1"/>
  <c r="A1665" s="1"/>
  <c r="A240"/>
  <c r="J240"/>
  <c r="J1666"/>
  <c r="BG34"/>
  <c r="D1668"/>
  <c r="D1669" s="1"/>
  <c r="A1666"/>
  <c r="A1667" s="1"/>
  <c r="J1659"/>
  <c r="A1659"/>
  <c r="A1661" s="1"/>
  <c r="J337"/>
  <c r="D339"/>
  <c r="T31"/>
  <c r="J340"/>
  <c r="A340"/>
  <c r="T34"/>
  <c r="D342"/>
  <c r="J748"/>
  <c r="D750"/>
  <c r="AF34"/>
  <c r="J782"/>
  <c r="AG34"/>
  <c r="D784"/>
  <c r="J775"/>
  <c r="A775"/>
  <c r="A777" s="1"/>
  <c r="A782" s="1"/>
  <c r="A783" s="1"/>
  <c r="J1080"/>
  <c r="A1080"/>
  <c r="A1082" s="1"/>
  <c r="A1085" s="1"/>
  <c r="A1086" s="1"/>
  <c r="J1523"/>
  <c r="A1523"/>
  <c r="J1464"/>
  <c r="A1464"/>
  <c r="J1391"/>
  <c r="D1393"/>
  <c r="AY31"/>
  <c r="J1386"/>
  <c r="A1386"/>
  <c r="A1388" s="1"/>
  <c r="A1391" s="1"/>
  <c r="A1392" s="1"/>
  <c r="J1595"/>
  <c r="BE31"/>
  <c r="D1597"/>
  <c r="J1289"/>
  <c r="AV31"/>
  <c r="D1291"/>
  <c r="J1284"/>
  <c r="A1284"/>
  <c r="A1286" s="1"/>
  <c r="A1289" s="1"/>
  <c r="A1290" s="1"/>
  <c r="J1226"/>
  <c r="A1226"/>
  <c r="J129"/>
  <c r="A129"/>
  <c r="J578"/>
  <c r="AA34"/>
  <c r="A578"/>
  <c r="A579" s="1"/>
  <c r="D580"/>
  <c r="J918"/>
  <c r="D920"/>
  <c r="AK34"/>
  <c r="J911"/>
  <c r="A911"/>
  <c r="A913" s="1"/>
  <c r="A918" s="1"/>
  <c r="A919" s="1"/>
  <c r="J1598"/>
  <c r="D1600"/>
  <c r="BE34"/>
  <c r="J1396"/>
  <c r="A1396"/>
  <c r="J1631"/>
  <c r="A1631"/>
  <c r="D1635"/>
  <c r="J1461"/>
  <c r="A1461"/>
  <c r="D1465"/>
  <c r="J407"/>
  <c r="A407"/>
  <c r="D411"/>
  <c r="J1669" l="1"/>
  <c r="A1669"/>
  <c r="J1465"/>
  <c r="A1465"/>
  <c r="J920"/>
  <c r="A920"/>
  <c r="J580"/>
  <c r="A580"/>
  <c r="J1291"/>
  <c r="A1291"/>
  <c r="D1295"/>
  <c r="J339"/>
  <c r="A339"/>
  <c r="D343"/>
  <c r="D34"/>
  <c r="J1533"/>
  <c r="A1533"/>
  <c r="J512"/>
  <c r="A512"/>
  <c r="J815"/>
  <c r="A815"/>
  <c r="D819"/>
  <c r="J954"/>
  <c r="A954"/>
  <c r="J308"/>
  <c r="A308"/>
  <c r="J274"/>
  <c r="A274"/>
  <c r="J1431"/>
  <c r="A1431"/>
  <c r="L32" i="4"/>
  <c r="A41"/>
  <c r="J41"/>
  <c r="D309" i="11"/>
  <c r="J241"/>
  <c r="A241"/>
  <c r="J1158"/>
  <c r="A1158"/>
  <c r="J713"/>
  <c r="D717"/>
  <c r="J28"/>
  <c r="A28"/>
  <c r="A29" s="1"/>
  <c r="J173"/>
  <c r="A173"/>
  <c r="J135"/>
  <c r="A135"/>
  <c r="A136" s="1"/>
  <c r="A137" s="1"/>
  <c r="D139"/>
  <c r="J1294"/>
  <c r="A1294"/>
  <c r="J985"/>
  <c r="A985"/>
  <c r="D989"/>
  <c r="J172"/>
  <c r="A172"/>
  <c r="D31"/>
  <c r="D513"/>
  <c r="J1495"/>
  <c r="A1495"/>
  <c r="D1499"/>
  <c r="J747"/>
  <c r="A747"/>
  <c r="D751"/>
  <c r="J445"/>
  <c r="A445"/>
  <c r="J1223"/>
  <c r="A1223"/>
  <c r="D1227"/>
  <c r="J886"/>
  <c r="A886"/>
  <c r="J679"/>
  <c r="A679"/>
  <c r="D683"/>
  <c r="J1124"/>
  <c r="A1124"/>
  <c r="J645"/>
  <c r="A645"/>
  <c r="D649"/>
  <c r="J1260"/>
  <c r="A1260"/>
  <c r="J648"/>
  <c r="A648"/>
  <c r="J1056"/>
  <c r="A1056"/>
  <c r="J1022"/>
  <c r="A1022"/>
  <c r="J781"/>
  <c r="A781"/>
  <c r="D785"/>
  <c r="L33" i="4"/>
  <c r="J411" i="11"/>
  <c r="A411"/>
  <c r="J1635"/>
  <c r="A1635"/>
  <c r="J1600"/>
  <c r="A1600"/>
  <c r="J1597"/>
  <c r="A1597"/>
  <c r="A1598" s="1"/>
  <c r="A1599" s="1"/>
  <c r="D1601"/>
  <c r="J1393"/>
  <c r="A1393"/>
  <c r="D1397"/>
  <c r="J784"/>
  <c r="A784"/>
  <c r="J750"/>
  <c r="A750"/>
  <c r="A342"/>
  <c r="J342"/>
  <c r="J1668"/>
  <c r="A1668"/>
  <c r="J951"/>
  <c r="A951"/>
  <c r="D955"/>
  <c r="A1363"/>
  <c r="J1363"/>
  <c r="J1189"/>
  <c r="A1189"/>
  <c r="D1193"/>
  <c r="J373"/>
  <c r="A373"/>
  <c r="D377"/>
  <c r="J546"/>
  <c r="A546"/>
  <c r="D921"/>
  <c r="J849"/>
  <c r="D853"/>
  <c r="A849"/>
  <c r="J1261"/>
  <c r="A1261"/>
  <c r="A138"/>
  <c r="J138"/>
  <c r="J1532"/>
  <c r="A1532"/>
  <c r="J1087"/>
  <c r="D1091"/>
  <c r="A1087"/>
  <c r="A713"/>
  <c r="D275"/>
  <c r="D581"/>
  <c r="J615"/>
  <c r="A615"/>
  <c r="J1155"/>
  <c r="A1155"/>
  <c r="D1159"/>
  <c r="J988"/>
  <c r="A988"/>
  <c r="J1019"/>
  <c r="D1023"/>
  <c r="A1019"/>
  <c r="J101"/>
  <c r="A101"/>
  <c r="A102" s="1"/>
  <c r="A103" s="1"/>
  <c r="D105"/>
  <c r="J479"/>
  <c r="A479"/>
  <c r="J818"/>
  <c r="A818"/>
  <c r="J203"/>
  <c r="D207"/>
  <c r="A203"/>
  <c r="J1567"/>
  <c r="A1567"/>
  <c r="J1090"/>
  <c r="A1090"/>
  <c r="J1053"/>
  <c r="A1053"/>
  <c r="D1057"/>
  <c r="J1329"/>
  <c r="A1329"/>
  <c r="J1498"/>
  <c r="A1498"/>
  <c r="J682"/>
  <c r="A682"/>
  <c r="A543"/>
  <c r="J543"/>
  <c r="D547"/>
  <c r="J716"/>
  <c r="A716"/>
  <c r="J206"/>
  <c r="A206"/>
  <c r="J1121"/>
  <c r="D1125"/>
  <c r="A1121"/>
  <c r="D887"/>
  <c r="J1362"/>
  <c r="A1362"/>
  <c r="J1057" l="1"/>
  <c r="A1057"/>
  <c r="J207"/>
  <c r="A207"/>
  <c r="J105"/>
  <c r="A105"/>
  <c r="J887"/>
  <c r="A887"/>
  <c r="J1125"/>
  <c r="A1125"/>
  <c r="J547"/>
  <c r="A547"/>
  <c r="J581"/>
  <c r="A581"/>
  <c r="J1091"/>
  <c r="A1091"/>
  <c r="J377"/>
  <c r="A377"/>
  <c r="J955"/>
  <c r="A955"/>
  <c r="J1601"/>
  <c r="A1601"/>
  <c r="J785"/>
  <c r="A785"/>
  <c r="J683"/>
  <c r="A683"/>
  <c r="J751"/>
  <c r="A751"/>
  <c r="J513"/>
  <c r="A513"/>
  <c r="J989"/>
  <c r="A989"/>
  <c r="J717"/>
  <c r="A717"/>
  <c r="J309"/>
  <c r="A309"/>
  <c r="J819"/>
  <c r="A819"/>
  <c r="J343"/>
  <c r="A343"/>
  <c r="J1023"/>
  <c r="A1023"/>
  <c r="J1159"/>
  <c r="A1159"/>
  <c r="J275"/>
  <c r="A275"/>
  <c r="J853"/>
  <c r="A853"/>
  <c r="J921"/>
  <c r="A921"/>
  <c r="J1193"/>
  <c r="A1193"/>
  <c r="J1397"/>
  <c r="A1397"/>
  <c r="R34" i="4"/>
  <c r="P34" s="1"/>
  <c r="R40"/>
  <c r="P40" s="1"/>
  <c r="R36"/>
  <c r="P36" s="1"/>
  <c r="R37"/>
  <c r="P37" s="1"/>
  <c r="R41"/>
  <c r="P41" s="1"/>
  <c r="R32"/>
  <c r="P32" s="1"/>
  <c r="Q32" s="1"/>
  <c r="R42"/>
  <c r="P42" s="1"/>
  <c r="R43"/>
  <c r="P43" s="1"/>
  <c r="R39"/>
  <c r="P39" s="1"/>
  <c r="R35"/>
  <c r="P35" s="1"/>
  <c r="R38"/>
  <c r="P38" s="1"/>
  <c r="R33"/>
  <c r="P33" s="1"/>
  <c r="J649" i="11"/>
  <c r="A649"/>
  <c r="J1227"/>
  <c r="A1227"/>
  <c r="J1499"/>
  <c r="A1499"/>
  <c r="J31"/>
  <c r="D33"/>
  <c r="A31"/>
  <c r="A32" s="1"/>
  <c r="J139"/>
  <c r="A139"/>
  <c r="O36" i="4"/>
  <c r="M36" s="1"/>
  <c r="O32"/>
  <c r="M32" s="1"/>
  <c r="O33"/>
  <c r="M33" s="1"/>
  <c r="O38"/>
  <c r="M38" s="1"/>
  <c r="O41"/>
  <c r="M41" s="1"/>
  <c r="O35"/>
  <c r="M35" s="1"/>
  <c r="O43"/>
  <c r="M43" s="1"/>
  <c r="O37"/>
  <c r="M37" s="1"/>
  <c r="O39"/>
  <c r="M39" s="1"/>
  <c r="O42"/>
  <c r="M42" s="1"/>
  <c r="O34"/>
  <c r="M34" s="1"/>
  <c r="O40"/>
  <c r="M40" s="1"/>
  <c r="J34" i="11"/>
  <c r="D36"/>
  <c r="J1295"/>
  <c r="A1295"/>
  <c r="S37" i="4" l="1"/>
  <c r="N37" s="1"/>
  <c r="S32"/>
  <c r="N32" s="1"/>
  <c r="J33" i="11"/>
  <c r="A33"/>
  <c r="A34" s="1"/>
  <c r="A35" s="1"/>
  <c r="A36" s="1"/>
  <c r="D37"/>
  <c r="BJ28" s="1"/>
  <c r="S33" i="4"/>
  <c r="N33" s="1"/>
  <c r="S35"/>
  <c r="N35" s="1"/>
  <c r="S43"/>
  <c r="N43" s="1"/>
  <c r="S40"/>
  <c r="N40" s="1"/>
  <c r="J36" i="11"/>
  <c r="BJ29"/>
  <c r="S38" i="4"/>
  <c r="N38" s="1"/>
  <c r="Q38"/>
  <c r="S39"/>
  <c r="N39" s="1"/>
  <c r="S42"/>
  <c r="N42" s="1"/>
  <c r="S41"/>
  <c r="N41" s="1"/>
  <c r="S36"/>
  <c r="N36" s="1"/>
  <c r="S34"/>
  <c r="N34" s="1"/>
  <c r="Q36" l="1"/>
  <c r="Q41"/>
  <c r="Q34"/>
  <c r="Q33"/>
  <c r="Q42"/>
  <c r="Q39"/>
  <c r="BP37" i="11"/>
  <c r="BN37" s="1"/>
  <c r="BP30"/>
  <c r="BN30" s="1"/>
  <c r="BP36"/>
  <c r="BN36" s="1"/>
  <c r="BP31"/>
  <c r="BN31" s="1"/>
  <c r="BP33"/>
  <c r="BN33" s="1"/>
  <c r="BP32"/>
  <c r="BN32" s="1"/>
  <c r="BP35"/>
  <c r="BN35" s="1"/>
  <c r="BP28"/>
  <c r="BN28" s="1"/>
  <c r="BO28" s="1"/>
  <c r="BP34"/>
  <c r="BN34" s="1"/>
  <c r="BP39"/>
  <c r="BN39" s="1"/>
  <c r="BP38"/>
  <c r="BN38" s="1"/>
  <c r="BP29"/>
  <c r="BN29" s="1"/>
  <c r="Q40" i="4"/>
  <c r="Q37"/>
  <c r="J37" i="11"/>
  <c r="A37"/>
  <c r="Q43" i="4"/>
  <c r="Q35"/>
  <c r="BM32" i="11"/>
  <c r="BK32" s="1"/>
  <c r="BM30"/>
  <c r="BK30" s="1"/>
  <c r="BQ30" s="1"/>
  <c r="BL30" s="1"/>
  <c r="BM38"/>
  <c r="BK38" s="1"/>
  <c r="BM28"/>
  <c r="BK28" s="1"/>
  <c r="BQ28" s="1"/>
  <c r="BL28" s="1"/>
  <c r="BI33" s="1"/>
  <c r="BM35"/>
  <c r="BK35" s="1"/>
  <c r="BQ35" s="1"/>
  <c r="BL35" s="1"/>
  <c r="BM34"/>
  <c r="BK34" s="1"/>
  <c r="BM33"/>
  <c r="BK33" s="1"/>
  <c r="BQ33" s="1"/>
  <c r="BL33" s="1"/>
  <c r="BM29"/>
  <c r="BK29" s="1"/>
  <c r="BQ29" s="1"/>
  <c r="BL29" s="1"/>
  <c r="BM31"/>
  <c r="BK31" s="1"/>
  <c r="BM39"/>
  <c r="BK39" s="1"/>
  <c r="BQ39" s="1"/>
  <c r="BL39" s="1"/>
  <c r="BM37"/>
  <c r="BK37" s="1"/>
  <c r="BM36"/>
  <c r="BK36" s="1"/>
  <c r="BQ38" l="1"/>
  <c r="BL38" s="1"/>
  <c r="BQ37"/>
  <c r="BL37" s="1"/>
  <c r="BQ32"/>
  <c r="BL32" s="1"/>
  <c r="BQ36"/>
  <c r="BL36" s="1"/>
  <c r="BQ34"/>
  <c r="BL34" s="1"/>
  <c r="BO29"/>
  <c r="BI36" s="1"/>
  <c r="BO39"/>
  <c r="BO31"/>
  <c r="BO30"/>
  <c r="BQ31"/>
  <c r="BO32" s="1"/>
  <c r="BO34"/>
  <c r="BO36"/>
  <c r="BO35" l="1"/>
  <c r="BO37"/>
  <c r="BO38"/>
  <c r="BO33"/>
  <c r="BL31"/>
</calcChain>
</file>

<file path=xl/comments1.xml><?xml version="1.0" encoding="utf-8"?>
<comments xmlns="http://schemas.openxmlformats.org/spreadsheetml/2006/main">
  <authors>
    <author>Махмудов Рустам Аллахвердиевич</author>
  </authors>
  <commentList>
    <comment ref="J2" authorId="0">
      <text>
        <r>
          <rPr>
            <b/>
            <sz val="10"/>
            <color indexed="81"/>
            <rFont val="Tahoma"/>
            <family val="2"/>
            <charset val="204"/>
          </rPr>
          <t>! Перед печатью отфильтруйте пустые строки</t>
        </r>
      </text>
    </comment>
  </commentList>
</comments>
</file>

<file path=xl/sharedStrings.xml><?xml version="1.0" encoding="utf-8"?>
<sst xmlns="http://schemas.openxmlformats.org/spreadsheetml/2006/main" count="2323" uniqueCount="288">
  <si>
    <t>Доля тех.р в стоимости объекта, %</t>
  </si>
  <si>
    <t>Павловский</t>
  </si>
  <si>
    <t>г.Сочи</t>
  </si>
  <si>
    <t>Стоимость материалов с учетом доставки до  места работ (франко-объект)</t>
  </si>
  <si>
    <t>Битум вязкий на розлив, т</t>
  </si>
  <si>
    <t>Сметная прибыль</t>
  </si>
  <si>
    <t>Накладные расходы, руб.</t>
  </si>
  <si>
    <t>Перевозка рабочих, руб.</t>
  </si>
  <si>
    <t>Переходящий</t>
  </si>
  <si>
    <t>г.Геленджик</t>
  </si>
  <si>
    <t>Доля СП в стоимости объекта, %</t>
  </si>
  <si>
    <t>Тихорецкий</t>
  </si>
  <si>
    <t>Оборудование</t>
  </si>
  <si>
    <t>Крымский</t>
  </si>
  <si>
    <t>Староминский</t>
  </si>
  <si>
    <t>Туапсинский</t>
  </si>
  <si>
    <t>Успенский</t>
  </si>
  <si>
    <t>Год</t>
  </si>
  <si>
    <t>Значение инфляции</t>
  </si>
  <si>
    <t>Гулькевичский</t>
  </si>
  <si>
    <t>Курганинский</t>
  </si>
  <si>
    <t>Наименование</t>
  </si>
  <si>
    <t>Дата составления расчета</t>
  </si>
  <si>
    <t>Доля ФОТ в стоимости объекта, %</t>
  </si>
  <si>
    <t>Доля мат.ов в стоимости объекта, %</t>
  </si>
  <si>
    <t>г.Анапа</t>
  </si>
  <si>
    <t xml:space="preserve"> </t>
  </si>
  <si>
    <t>Кореновский</t>
  </si>
  <si>
    <t>Лабинский</t>
  </si>
  <si>
    <t>Выселковский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</si>
  <si>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</si>
  <si>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t>Апшеронский</t>
  </si>
  <si>
    <t>Белореченский</t>
  </si>
  <si>
    <t>г.Горячий Ключ</t>
  </si>
  <si>
    <t>Мостовский</t>
  </si>
  <si>
    <t>Усть-Лабинский</t>
  </si>
  <si>
    <t>Славянский</t>
  </si>
  <si>
    <t>Динской</t>
  </si>
  <si>
    <t>Каневский</t>
  </si>
  <si>
    <t>Красноармейский</t>
  </si>
  <si>
    <t>Битум жидкий, т</t>
  </si>
  <si>
    <t>Стоимость эксплуатации машин и механизмов</t>
  </si>
  <si>
    <t>Накладные  расходы</t>
  </si>
  <si>
    <t>Приморско-Ахтарский</t>
  </si>
  <si>
    <t>ВЗиС (монтажные), руб.</t>
  </si>
  <si>
    <t>Доля НР в стоимости объекта, %</t>
  </si>
  <si>
    <t>Фонд оплаты труда в составе прямых затрат</t>
  </si>
  <si>
    <t>г.Новороссийск</t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</si>
  <si>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</si>
  <si>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</si>
  <si>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</si>
  <si>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</si>
  <si>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Район</t>
  </si>
  <si>
    <t>г.Армавир</t>
  </si>
  <si>
    <t>Сметная прибыль, руб.</t>
  </si>
  <si>
    <t>Ленинградский</t>
  </si>
  <si>
    <t>Белоглинский</t>
  </si>
  <si>
    <t>Ейский</t>
  </si>
  <si>
    <t>Щербиновский</t>
  </si>
  <si>
    <t>ВЗиС (строительные), руб.</t>
  </si>
  <si>
    <t>Отрадненский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</si>
  <si>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</si>
  <si>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t>Непредвиденные расходы</t>
  </si>
  <si>
    <t>Строительные работы, руб</t>
  </si>
  <si>
    <t>Монтажные работы, руб</t>
  </si>
  <si>
    <t>Краснодарский край</t>
  </si>
  <si>
    <t>Оборудование, руб.</t>
  </si>
  <si>
    <t>№ п/п</t>
  </si>
  <si>
    <t>Крыловский</t>
  </si>
  <si>
    <t>Строительные в главе 9, руб.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</si>
  <si>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</si>
  <si>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Монтажные в главе 9, руб.</t>
  </si>
  <si>
    <t>Калининский</t>
  </si>
  <si>
    <t>Новопокровский</t>
  </si>
  <si>
    <t>Новокубанский</t>
  </si>
  <si>
    <t>Темрюкский</t>
  </si>
  <si>
    <t>Северский</t>
  </si>
  <si>
    <t>Кущевский</t>
  </si>
  <si>
    <t>Строительно-монтажные работы, руб.</t>
  </si>
  <si>
    <t>Фонд оплаты труда, руб.</t>
  </si>
  <si>
    <t>г.Кропоткин</t>
  </si>
  <si>
    <t>Итого</t>
  </si>
  <si>
    <t>вид работ</t>
  </si>
  <si>
    <t>Восстановление оси (прочие по гл.1-7), руб.</t>
  </si>
  <si>
    <t>Вариант ремонта</t>
  </si>
  <si>
    <t>Наименование объекта, привязка</t>
  </si>
  <si>
    <t>Брюховецкий</t>
  </si>
  <si>
    <t>Тбилисский</t>
  </si>
  <si>
    <t>Прочие затраты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</si>
  <si>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</si>
  <si>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г.Краснодар</t>
  </si>
  <si>
    <t>Абинский</t>
  </si>
  <si>
    <t>Стоимость эксплуатации машин и механизмов, руб.</t>
  </si>
  <si>
    <t xml:space="preserve">Протяженность, км </t>
  </si>
  <si>
    <t>Непредвиденные расходы и затраты, руб.</t>
  </si>
  <si>
    <t>Кавказский</t>
  </si>
  <si>
    <t>Тимашевский</t>
  </si>
  <si>
    <t>Дата передачи в отдел договоров</t>
  </si>
  <si>
    <t>Наименование затрат</t>
  </si>
  <si>
    <t>Значения</t>
  </si>
  <si>
    <t>Бетон, м3</t>
  </si>
  <si>
    <t>Арматура, т (сетки, каркасы, стержни)</t>
  </si>
  <si>
    <t>Содержание</t>
  </si>
  <si>
    <t>Уровень цен</t>
  </si>
  <si>
    <t>Реконструкция</t>
  </si>
  <si>
    <t>Освещение</t>
  </si>
  <si>
    <t>Обл. ремонт</t>
  </si>
  <si>
    <t>Строительство</t>
  </si>
  <si>
    <t>Утверждаю</t>
  </si>
  <si>
    <t xml:space="preserve">                   м.п.</t>
  </si>
  <si>
    <t>Раздел 6. Обоснование начальной (максимальной) цены контракта (лота)</t>
  </si>
  <si>
    <t>Таблица. Расчет начальной (максимальной) цены контракта</t>
  </si>
  <si>
    <t>Раздел I. Сметная стоимость в текущих ценах</t>
  </si>
  <si>
    <t>Индексы-дефляторы Минэкономразвития РФ, применяемые к сметной стоимости</t>
  </si>
  <si>
    <t>Ед. изм.</t>
  </si>
  <si>
    <t>%</t>
  </si>
  <si>
    <t>руб.</t>
  </si>
  <si>
    <t>Раздел III. Начальная (максимальная) цена</t>
  </si>
  <si>
    <t>Всего с НДС</t>
  </si>
  <si>
    <t>НДС 18%</t>
  </si>
  <si>
    <t>Используемый метод определения начальной (максимальной) цены контракта: проектно-сметный метод</t>
  </si>
  <si>
    <t>Обоснование выбранного метода определения начальной (максимальной) цены контракта: п.1 части 9 статьи 22 федерального закона от 05.04.2013 г. №44-ФЗ</t>
  </si>
  <si>
    <t>Раздел II. Расчет прогнозного роста стоимости на период производства работ</t>
  </si>
  <si>
    <r>
      <t xml:space="preserve">                                  </t>
    </r>
    <r>
      <rPr>
        <sz val="12"/>
        <color indexed="8"/>
        <rFont val="Times New Roman"/>
        <family val="1"/>
        <charset val="204"/>
      </rPr>
      <t>Белошкура А.А.</t>
    </r>
  </si>
  <si>
    <t>Используемый метод определения начальной (максимальной) цены контракта: Затратный метод</t>
  </si>
  <si>
    <t>Ремонты</t>
  </si>
  <si>
    <t>Индексы потребительских цен Минэкономразвития РФ, применяемые к сметной стоимости</t>
  </si>
  <si>
    <t>Итого без НДС</t>
  </si>
  <si>
    <t>Приложение №1</t>
  </si>
  <si>
    <t>Приложение №2</t>
  </si>
  <si>
    <t>Приложение №3</t>
  </si>
  <si>
    <t>Приложение №4</t>
  </si>
  <si>
    <t>Приложение №5</t>
  </si>
  <si>
    <t>Приложение №6</t>
  </si>
  <si>
    <t>Приложение №7</t>
  </si>
  <si>
    <t>Приложение №8</t>
  </si>
  <si>
    <t>Приложение №9</t>
  </si>
  <si>
    <t>Приложение №10</t>
  </si>
  <si>
    <t>Приложение №11</t>
  </si>
  <si>
    <t>Приложение №12</t>
  </si>
  <si>
    <t>Приложение №13</t>
  </si>
  <si>
    <t>Приложение №14</t>
  </si>
  <si>
    <t>Приложение №15</t>
  </si>
  <si>
    <t>Приложение №16</t>
  </si>
  <si>
    <t>Приложение №17</t>
  </si>
  <si>
    <t>Приложение №18</t>
  </si>
  <si>
    <t>Приложение №19</t>
  </si>
  <si>
    <t>Приложение №20</t>
  </si>
  <si>
    <t>Приложение №21</t>
  </si>
  <si>
    <t>Приложение №22</t>
  </si>
  <si>
    <t>Приложение №23</t>
  </si>
  <si>
    <t>Приложение №24</t>
  </si>
  <si>
    <t>Содержание ТР</t>
  </si>
  <si>
    <t>Безопасность по содержанию (барьерка)</t>
  </si>
  <si>
    <t>Труба</t>
  </si>
  <si>
    <t>АП</t>
  </si>
  <si>
    <t>Безопасность по ремонтам</t>
  </si>
  <si>
    <t>ИС прочие</t>
  </si>
  <si>
    <t>&lt;&gt;#Н/Д</t>
  </si>
  <si>
    <t>Деф швы</t>
  </si>
  <si>
    <t>Кап. ремонт (АВ)</t>
  </si>
  <si>
    <t>Кап. ремонт</t>
  </si>
  <si>
    <t>Стоимость термопластика, руб без НДС</t>
  </si>
  <si>
    <t>Стоимость холодного пластика, руб без НДС</t>
  </si>
  <si>
    <t>Ремонт моста</t>
  </si>
  <si>
    <t>Обоснование выбранного метода определения начальной (максимальной) цены контракта: часть 9.1 статьи 22 федерального закона от 05.04.2013 г. №44-ФЗ</t>
  </si>
  <si>
    <t>Реконструкция моста</t>
  </si>
  <si>
    <t>Строительство моста</t>
  </si>
  <si>
    <t>Приложение №25</t>
  </si>
  <si>
    <t>Приложение №26</t>
  </si>
  <si>
    <t>Приложение №27</t>
  </si>
  <si>
    <t>Приложение №28</t>
  </si>
  <si>
    <t>Приложение №29</t>
  </si>
  <si>
    <t>Приложение №30</t>
  </si>
  <si>
    <t>Приложение №31</t>
  </si>
  <si>
    <t>Приложение №32</t>
  </si>
  <si>
    <t>Приложение №33</t>
  </si>
  <si>
    <t>Приложение №34</t>
  </si>
  <si>
    <t>Приложение №35</t>
  </si>
  <si>
    <t>Приложение №36</t>
  </si>
  <si>
    <t>Приложение №37</t>
  </si>
  <si>
    <t>Приложение №38</t>
  </si>
  <si>
    <t>Приложение №39</t>
  </si>
  <si>
    <t>Приложение №40</t>
  </si>
  <si>
    <t>Приложение №41</t>
  </si>
  <si>
    <t>Приложение №42</t>
  </si>
  <si>
    <t>Приложение №43</t>
  </si>
  <si>
    <t>Приложение №44</t>
  </si>
  <si>
    <t>Приложение №45</t>
  </si>
  <si>
    <t>Приложение №46</t>
  </si>
  <si>
    <t>Приложение №47</t>
  </si>
  <si>
    <t>Приложение №48</t>
  </si>
  <si>
    <t>Начальник отдела формирования начальной
максимальной цены контракта управления
контрактной службы</t>
  </si>
  <si>
    <t>Кап. ремонт моста</t>
  </si>
  <si>
    <t>Кап. ремонт (освещение)</t>
  </si>
  <si>
    <t>Стоимость 1 км, руб</t>
  </si>
  <si>
    <t>Стоимость барьер огражд, руб без НДС</t>
  </si>
  <si>
    <t>4кв. 2015</t>
  </si>
  <si>
    <t>Реконструкция улицы</t>
  </si>
  <si>
    <t>Обл. ремонт (с непредвиденными)</t>
  </si>
  <si>
    <t>1кв. 2016</t>
  </si>
  <si>
    <t>2кв. 2016</t>
  </si>
  <si>
    <t>3кв. 2016</t>
  </si>
  <si>
    <t>4кв. 2016</t>
  </si>
  <si>
    <t>1кв. 2015</t>
  </si>
  <si>
    <t>2кв. 2015</t>
  </si>
  <si>
    <t>3кв. 2015</t>
  </si>
  <si>
    <t>1кв. 2014</t>
  </si>
  <si>
    <t>2кв. 2014</t>
  </si>
  <si>
    <t>3кв. 2014</t>
  </si>
  <si>
    <t>4кв. 2014</t>
  </si>
  <si>
    <t>1кв. 2013</t>
  </si>
  <si>
    <t>2кв. 2013</t>
  </si>
  <si>
    <t>3кв. 2013</t>
  </si>
  <si>
    <t>4кв. 2013</t>
  </si>
  <si>
    <t>1кв. 2012</t>
  </si>
  <si>
    <t>2кв. 2012</t>
  </si>
  <si>
    <t>3кв. 2012</t>
  </si>
  <si>
    <t>4кв. 2012</t>
  </si>
  <si>
    <t>1кв. 2011</t>
  </si>
  <si>
    <t>Итого по
гл. 1-7, руб.</t>
  </si>
  <si>
    <t>Стоимость материалов с уч. дост. до места работ (франко-объект), руб.</t>
  </si>
  <si>
    <r>
      <t xml:space="preserve">Начальная цена заказчика </t>
    </r>
    <r>
      <rPr>
        <b/>
        <sz val="8"/>
        <color rgb="FFC00000"/>
        <rFont val="Times New Roman"/>
        <family val="1"/>
        <charset val="204"/>
      </rPr>
      <t>ПСМ</t>
    </r>
    <r>
      <rPr>
        <b/>
        <sz val="8"/>
        <color indexed="8"/>
        <rFont val="Times New Roman"/>
        <family val="1"/>
        <charset val="204"/>
      </rPr>
      <t>, руб.</t>
    </r>
  </si>
  <si>
    <r>
      <rPr>
        <b/>
        <sz val="8"/>
        <color rgb="FFC00000"/>
        <rFont val="Times New Roman"/>
        <family val="1"/>
        <charset val="204"/>
      </rPr>
      <t>ПНР</t>
    </r>
    <r>
      <rPr>
        <b/>
        <sz val="8"/>
        <color indexed="8"/>
        <rFont val="Times New Roman"/>
        <family val="1"/>
        <charset val="204"/>
      </rPr>
      <t xml:space="preserve"> (прочие в главе 9), руб.</t>
    </r>
  </si>
  <si>
    <t>01.08.2016</t>
  </si>
  <si>
    <t>01.08.2015</t>
  </si>
  <si>
    <t>Площадь покрытия (обл. рем), м2</t>
  </si>
  <si>
    <t>Обоснование выбранного метода определения начальной (максимальной) цены контракта: часть 10 статьи 22 федерального закона от 05.04.2013 г. №44-ФЗ; Постановление главы администрации (губернатора) Краснодарского края от 23.05.2014 г. N 501 "Об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исполнителем)"</t>
  </si>
  <si>
    <t>Дефляторы с 28.05.2015 по 26.10.2015</t>
  </si>
  <si>
    <r>
      <t xml:space="preserve">Объекты </t>
    </r>
    <r>
      <rPr>
        <sz val="11"/>
        <color indexed="10"/>
        <rFont val="Times New Roman"/>
        <family val="1"/>
        <charset val="204"/>
      </rPr>
      <t>строительства, реконструкции, капитального ремонта и ремонта</t>
    </r>
  </si>
  <si>
    <r>
      <t xml:space="preserve">Объекты </t>
    </r>
    <r>
      <rPr>
        <sz val="11"/>
        <color indexed="10"/>
        <rFont val="Times New Roman"/>
        <family val="1"/>
        <charset val="204"/>
      </rPr>
      <t>содержания</t>
    </r>
  </si>
  <si>
    <t>Министр транспорта и дорожного</t>
  </si>
  <si>
    <t xml:space="preserve">хозяйства Краснодарского края </t>
  </si>
  <si>
    <t>________________________ А. В. Вороновский</t>
  </si>
  <si>
    <t>Затратный метод</t>
  </si>
  <si>
    <t>проектно-сметный метод</t>
  </si>
  <si>
    <t>Обоснование выбранного метода определения начальной (максимальной) цены контракта: часть 10 статьи 22 федерального закона от 05.04.2013 г. №44-ФЗ; Постановление главы администрации (губернатора) Краснодарского края от 23.05.2014 N 501 "Об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исполнителем)"</t>
  </si>
  <si>
    <t>! Значения ставить без запятых</t>
  </si>
  <si>
    <t>Эмульсия, т</t>
  </si>
  <si>
    <t>01.06.2016</t>
  </si>
  <si>
    <t>фильтр пустых строк</t>
  </si>
  <si>
    <t>01.06.2017</t>
  </si>
  <si>
    <t>1кв. 2017</t>
  </si>
  <si>
    <t>2кв. 2017</t>
  </si>
  <si>
    <t>3кв. 2017</t>
  </si>
  <si>
    <t>4кв. 2017</t>
  </si>
  <si>
    <r>
      <t xml:space="preserve">Итого расходы и затраты на </t>
    </r>
    <r>
      <rPr>
        <b/>
        <sz val="8"/>
        <color rgb="FFEE0000"/>
        <rFont val="Times New Roman"/>
        <family val="1"/>
        <charset val="204"/>
      </rPr>
      <t>01.06.2017г</t>
    </r>
    <r>
      <rPr>
        <b/>
        <sz val="8"/>
        <rFont val="Times New Roman"/>
        <family val="1"/>
        <charset val="204"/>
      </rPr>
      <t>, руб.</t>
    </r>
  </si>
  <si>
    <t>Метод определения начальной (максимальной) цены контракта</t>
  </si>
  <si>
    <t>ПГС, м3</t>
  </si>
  <si>
    <t>Горная масса, булыга, м3</t>
  </si>
  <si>
    <t>Песок, м3</t>
  </si>
  <si>
    <t>Соль,
м3</t>
  </si>
  <si>
    <t>ч/щ</t>
  </si>
  <si>
    <t>тип А</t>
  </si>
  <si>
    <t>тип Б</t>
  </si>
  <si>
    <t>тип Г</t>
  </si>
  <si>
    <t>к/з пористый</t>
  </si>
  <si>
    <t>ЩМА-15</t>
  </si>
  <si>
    <t>тип Бх</t>
  </si>
  <si>
    <t>Плита тактильная 500х500х50мм, м2</t>
  </si>
  <si>
    <t>АП, шт</t>
  </si>
  <si>
    <t>БР 100.20.8, м</t>
  </si>
  <si>
    <t>БР 100.30.18, м</t>
  </si>
  <si>
    <t>Стоимость перильн огражд, руб без НДС</t>
  </si>
  <si>
    <t>Стоимость краски разметочной, руб без НДС</t>
  </si>
  <si>
    <t>Опоры метал ОЦ с закладными, шт</t>
  </si>
  <si>
    <t>Опоры метал ОЦ с закладными, руб без НДС</t>
  </si>
  <si>
    <t>Опоры ж.б., шт</t>
  </si>
  <si>
    <t>Опоры ж.б., руб без НДС</t>
  </si>
  <si>
    <t>Кронштейны метал ОЦ, шт</t>
  </si>
  <si>
    <t>Кронштейны метал ОЦ, руб без НДС</t>
  </si>
  <si>
    <r>
      <t>Щебень</t>
    </r>
    <r>
      <rPr>
        <b/>
        <sz val="8"/>
        <color rgb="FFFF0000"/>
        <rFont val="Times New Roman"/>
        <family val="1"/>
        <charset val="204"/>
      </rPr>
      <t xml:space="preserve"> М-800</t>
    </r>
    <r>
      <rPr>
        <b/>
        <sz val="8"/>
        <color indexed="8"/>
        <rFont val="Times New Roman"/>
        <family val="1"/>
        <charset val="204"/>
      </rPr>
      <t xml:space="preserve"> фр. 5-20 мм, м3</t>
    </r>
  </si>
  <si>
    <r>
      <t xml:space="preserve">Щебень </t>
    </r>
    <r>
      <rPr>
        <b/>
        <sz val="8"/>
        <color rgb="FFFF0000"/>
        <rFont val="Times New Roman"/>
        <family val="1"/>
        <charset val="204"/>
      </rPr>
      <t xml:space="preserve">М-800 </t>
    </r>
    <r>
      <rPr>
        <b/>
        <sz val="8"/>
        <color indexed="8"/>
        <rFont val="Times New Roman"/>
        <family val="1"/>
        <charset val="204"/>
      </rPr>
      <t>фр. 20-40 мм, м3</t>
    </r>
  </si>
  <si>
    <r>
      <t xml:space="preserve">Щебень </t>
    </r>
    <r>
      <rPr>
        <b/>
        <sz val="8"/>
        <color rgb="FFFF0000"/>
        <rFont val="Times New Roman"/>
        <family val="1"/>
        <charset val="204"/>
      </rPr>
      <t>менее М-800</t>
    </r>
    <r>
      <rPr>
        <b/>
        <sz val="8"/>
        <color indexed="8"/>
        <rFont val="Times New Roman"/>
        <family val="1"/>
        <charset val="204"/>
      </rPr>
      <t xml:space="preserve"> фр. 40-70 мм, м3</t>
    </r>
  </si>
  <si>
    <r>
      <t xml:space="preserve">Щебень </t>
    </r>
    <r>
      <rPr>
        <b/>
        <sz val="8"/>
        <color rgb="FFFF0000"/>
        <rFont val="Times New Roman"/>
        <family val="1"/>
        <charset val="204"/>
      </rPr>
      <t>менее М-800</t>
    </r>
    <r>
      <rPr>
        <b/>
        <sz val="8"/>
        <color indexed="8"/>
        <rFont val="Times New Roman"/>
        <family val="1"/>
        <charset val="204"/>
      </rPr>
      <t xml:space="preserve"> фр. 20-40 мм и менее, м3</t>
    </r>
  </si>
  <si>
    <r>
      <t xml:space="preserve">тип А </t>
    </r>
    <r>
      <rPr>
        <b/>
        <sz val="8"/>
        <color rgb="FFFF0000"/>
        <rFont val="Times New Roman"/>
        <family val="1"/>
        <charset val="204"/>
      </rPr>
      <t>полимер</t>
    </r>
  </si>
  <si>
    <r>
      <t xml:space="preserve">тип Б </t>
    </r>
    <r>
      <rPr>
        <b/>
        <sz val="8"/>
        <color rgb="FFFF0000"/>
        <rFont val="Times New Roman"/>
        <family val="1"/>
        <charset val="204"/>
      </rPr>
      <t>полимер</t>
    </r>
  </si>
  <si>
    <r>
      <t xml:space="preserve">к/з пористый </t>
    </r>
    <r>
      <rPr>
        <b/>
        <sz val="8"/>
        <color rgb="FFFF0000"/>
        <rFont val="Times New Roman"/>
        <family val="1"/>
        <charset val="204"/>
      </rPr>
      <t>полимер</t>
    </r>
  </si>
  <si>
    <r>
      <t xml:space="preserve">ЩМА-15 </t>
    </r>
    <r>
      <rPr>
        <b/>
        <sz val="8"/>
        <color rgb="FFFF0000"/>
        <rFont val="Times New Roman"/>
        <family val="1"/>
        <charset val="204"/>
      </rPr>
      <t>полимер</t>
    </r>
  </si>
  <si>
    <t>тип Б
для выравн</t>
  </si>
  <si>
    <t>Дефляторы от 27.10.2017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</si>
  <si>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Старонижестеблиевском сельском поселении Красноармейского района государственной программы Краснодарского края  «Развитие сети автомобильных дорог Краснодарского края»</t>
  </si>
  <si>
    <t>Глава Старонижестеблиевского сельского поселения Красноармейского района</t>
  </si>
  <si>
    <t>Новак В.В.</t>
  </si>
  <si>
    <t>Специалист администрации Старонижестеблиевского сельского поселения Красноармейского района</t>
  </si>
  <si>
    <t>Шестопал О.Н.</t>
  </si>
  <si>
    <t>Ремонт ул.Стахановской от ПК 0+00 до ПК 5+70 (ул.Набережная) в ст-це Старонижестеблиевской.</t>
  </si>
  <si>
    <t>Проектно-сметный метод</t>
  </si>
</sst>
</file>

<file path=xl/styles.xml><?xml version="1.0" encoding="utf-8"?>
<styleSheet xmlns="http://schemas.openxmlformats.org/spreadsheetml/2006/main">
  <numFmts count="28">
    <numFmt numFmtId="41" formatCode="_-* #,##0_р_._-;\-* #,##0_р_._-;_-* &quot;-&quot;_р_._-;_-@_-"/>
    <numFmt numFmtId="43" formatCode="_-* #,##0.00_р_._-;\-* #,##0.00_р_._-;_-* &quot;-&quot;??_р_._-;_-@_-"/>
    <numFmt numFmtId="164" formatCode="0.0%"/>
    <numFmt numFmtId="165" formatCode="0.000%"/>
    <numFmt numFmtId="166" formatCode="0.0"/>
    <numFmt numFmtId="167" formatCode="0.00000%"/>
    <numFmt numFmtId="168" formatCode="0.000"/>
    <numFmt numFmtId="169" formatCode="yyyy/mm/dd"/>
    <numFmt numFmtId="170" formatCode="0.000000"/>
    <numFmt numFmtId="171" formatCode="#,##0.00000"/>
    <numFmt numFmtId="172" formatCode="0.00000000000%"/>
    <numFmt numFmtId="173" formatCode="[$-F800]dddd\,\ mmmm\ dd\,\ yyyy"/>
    <numFmt numFmtId="174" formatCode="0.0000000000"/>
    <numFmt numFmtId="175" formatCode="0.00000000000"/>
    <numFmt numFmtId="176" formatCode="0.000000000"/>
    <numFmt numFmtId="177" formatCode="0.000000000000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_-* #,##0\ _р_._-;\-* #,##0\ _р_._-;_-* &quot;-&quot;\ _р_._-;_-@_-"/>
    <numFmt numFmtId="181" formatCode="_-* #,##0.00\ _р_._-;\-* #,##0.00\ _р_._-;_-* &quot;-&quot;??\ _р_._-;_-@_-"/>
    <numFmt numFmtId="182" formatCode="#,##0.000000000"/>
    <numFmt numFmtId="183" formatCode="0.0000"/>
    <numFmt numFmtId="184" formatCode="0.00000"/>
    <numFmt numFmtId="185" formatCode="0.0000000"/>
    <numFmt numFmtId="186" formatCode="0.00000000"/>
    <numFmt numFmtId="187" formatCode="mmmm\ yyyy"/>
    <numFmt numFmtId="188" formatCode="0.00%;;0.00%"/>
    <numFmt numFmtId="189" formatCode="[$-419]mmmm\ yyyy;@"/>
  </numFmts>
  <fonts count="55">
    <font>
      <sz val="10"/>
      <color indexed="8"/>
      <name val="MS Sans Serif"/>
      <charset val="204"/>
    </font>
    <font>
      <sz val="8"/>
      <color indexed="8"/>
      <name val="MS Sans Serif"/>
      <family val="2"/>
      <charset val="204"/>
    </font>
    <font>
      <sz val="10"/>
      <name val="Arial Cyr"/>
      <charset val="204"/>
    </font>
    <font>
      <sz val="8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sz val="8"/>
      <color indexed="56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2"/>
      <color indexed="8"/>
      <name val="Times New Roman"/>
      <family val="1"/>
      <charset val="204"/>
    </font>
    <font>
      <sz val="2"/>
      <color indexed="8"/>
      <name val="Times New Roman"/>
      <family val="1"/>
      <charset val="204"/>
    </font>
    <font>
      <b/>
      <sz val="2"/>
      <color indexed="9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2"/>
      <color indexed="8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Pragmatica"/>
    </font>
    <font>
      <sz val="8"/>
      <name val="Optima"/>
      <family val="2"/>
    </font>
    <font>
      <sz val="10"/>
      <name val="Helv"/>
    </font>
    <font>
      <sz val="11"/>
      <color indexed="8"/>
      <name val="Calibri"/>
      <family val="2"/>
      <charset val="204"/>
    </font>
    <font>
      <sz val="10"/>
      <name val="Arial Cyr"/>
    </font>
    <font>
      <b/>
      <sz val="10"/>
      <color rgb="FF000000"/>
      <name val="Arial"/>
      <family val="2"/>
      <charset val="204"/>
    </font>
    <font>
      <sz val="8"/>
      <color theme="0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b/>
      <sz val="8"/>
      <color rgb="FFEE0000"/>
      <name val="Times New Roman"/>
      <family val="1"/>
      <charset val="204"/>
    </font>
    <font>
      <sz val="1"/>
      <color theme="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gradientFill degree="90">
        <stop position="0">
          <color theme="0"/>
        </stop>
        <stop position="1">
          <color theme="2" tint="-0.49803155613879818"/>
        </stop>
      </gradientFill>
    </fill>
    <fill>
      <gradientFill degree="90">
        <stop position="0">
          <color theme="0"/>
        </stop>
        <stop position="1">
          <color rgb="FFFFFF99"/>
        </stop>
      </gradientFill>
    </fill>
    <fill>
      <gradientFill degree="90">
        <stop position="0">
          <color theme="0"/>
        </stop>
        <stop position="1">
          <color theme="2" tint="-0.25098422193060094"/>
        </stop>
      </gradientFill>
    </fill>
    <fill>
      <gradientFill degree="90">
        <stop position="0">
          <color theme="0"/>
        </stop>
        <stop position="1">
          <color rgb="FFF7F7F7"/>
        </stop>
      </gradientFill>
    </fill>
    <fill>
      <patternFill patternType="solid">
        <fgColor theme="0"/>
        <bgColor auto="1"/>
      </patternFill>
    </fill>
    <fill>
      <gradientFill type="path" left="0.5" right="0.5" top="0.5" bottom="0.5">
        <stop position="0">
          <color theme="0"/>
        </stop>
        <stop position="1">
          <color rgb="FFAFFE7A"/>
        </stop>
      </gradient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gradientFill degree="180">
        <stop position="0">
          <color theme="0"/>
        </stop>
        <stop position="1">
          <color theme="0" tint="-0.1490218817712943"/>
        </stop>
      </gradientFill>
    </fill>
    <fill>
      <patternFill patternType="solid">
        <fgColor rgb="FF839AFD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rgb="FF5F5F5F"/>
      </left>
      <right style="thin">
        <color rgb="FF5F5F5F"/>
      </right>
      <top style="thin">
        <color rgb="FF5F5F5F"/>
      </top>
      <bottom style="thin">
        <color rgb="FF5F5F5F"/>
      </bottom>
      <diagonal/>
    </border>
    <border>
      <left style="hair">
        <color indexed="23"/>
      </left>
      <right style="hair">
        <color indexed="23"/>
      </right>
      <top/>
      <bottom style="hair">
        <color indexed="23"/>
      </bottom>
      <diagonal/>
    </border>
    <border>
      <left style="hair">
        <color rgb="FF5F5F5F"/>
      </left>
      <right style="hair">
        <color rgb="FF5F5F5F"/>
      </right>
      <top style="hair">
        <color rgb="FF5F5F5F"/>
      </top>
      <bottom style="hair">
        <color rgb="FF5F5F5F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rgb="FF5F5F5F"/>
      </left>
      <right style="thin">
        <color rgb="FF5F5F5F"/>
      </right>
      <top/>
      <bottom/>
      <diagonal/>
    </border>
    <border>
      <left style="hair">
        <color indexed="23"/>
      </left>
      <right style="hair">
        <color indexed="23"/>
      </right>
      <top/>
      <bottom/>
      <diagonal/>
    </border>
    <border>
      <left style="double">
        <color rgb="FFFF0000"/>
      </left>
      <right style="hair">
        <color rgb="FF5F5F5F"/>
      </right>
      <top style="double">
        <color rgb="FFFF0000"/>
      </top>
      <bottom/>
      <diagonal/>
    </border>
    <border>
      <left style="hair">
        <color rgb="FF5F5F5F"/>
      </left>
      <right style="hair">
        <color rgb="FF5F5F5F"/>
      </right>
      <top style="double">
        <color rgb="FFFF0000"/>
      </top>
      <bottom style="hair">
        <color rgb="FF5F5F5F"/>
      </bottom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 style="hair">
        <color rgb="FF5F5F5F"/>
      </right>
      <top/>
      <bottom style="hair">
        <color rgb="FF5F5F5F"/>
      </bottom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 style="hair">
        <color rgb="FF5F5F5F"/>
      </right>
      <top style="hair">
        <color rgb="FF5F5F5F"/>
      </top>
      <bottom style="hair">
        <color rgb="FF5F5F5F"/>
      </bottom>
      <diagonal/>
    </border>
    <border>
      <left style="double">
        <color rgb="FFFF0000"/>
      </left>
      <right/>
      <top/>
      <bottom/>
      <diagonal/>
    </border>
    <border>
      <left style="double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rgb="FFFF0000"/>
      </right>
      <top style="hair">
        <color indexed="64"/>
      </top>
      <bottom style="hair">
        <color indexed="64"/>
      </bottom>
      <diagonal/>
    </border>
    <border>
      <left style="double">
        <color rgb="FFFF0000"/>
      </left>
      <right style="hair">
        <color indexed="64"/>
      </right>
      <top style="hair">
        <color indexed="64"/>
      </top>
      <bottom style="double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rgb="FFFF0000"/>
      </bottom>
      <diagonal/>
    </border>
    <border>
      <left style="hair">
        <color indexed="64"/>
      </left>
      <right style="double">
        <color rgb="FFFF0000"/>
      </right>
      <top style="hair">
        <color indexed="64"/>
      </top>
      <bottom style="double">
        <color rgb="FFFF0000"/>
      </bottom>
      <diagonal/>
    </border>
    <border>
      <left style="double">
        <color rgb="FF0000FF"/>
      </left>
      <right style="hair">
        <color rgb="FF5F5F5F"/>
      </right>
      <top style="double">
        <color rgb="FF0000FF"/>
      </top>
      <bottom/>
      <diagonal/>
    </border>
    <border>
      <left style="hair">
        <color rgb="FF5F5F5F"/>
      </left>
      <right style="hair">
        <color rgb="FF5F5F5F"/>
      </right>
      <top style="double">
        <color rgb="FF0000FF"/>
      </top>
      <bottom style="hair">
        <color rgb="FF5F5F5F"/>
      </bottom>
      <diagonal/>
    </border>
    <border>
      <left/>
      <right/>
      <top style="double">
        <color rgb="FF0000FF"/>
      </top>
      <bottom/>
      <diagonal/>
    </border>
    <border>
      <left/>
      <right style="double">
        <color rgb="FF0000FF"/>
      </right>
      <top style="double">
        <color rgb="FF0000FF"/>
      </top>
      <bottom/>
      <diagonal/>
    </border>
    <border>
      <left style="double">
        <color rgb="FF0000FF"/>
      </left>
      <right style="hair">
        <color rgb="FF5F5F5F"/>
      </right>
      <top/>
      <bottom style="hair">
        <color rgb="FF5F5F5F"/>
      </bottom>
      <diagonal/>
    </border>
    <border>
      <left/>
      <right style="double">
        <color rgb="FF0000FF"/>
      </right>
      <top/>
      <bottom/>
      <diagonal/>
    </border>
    <border>
      <left style="double">
        <color rgb="FF0000FF"/>
      </left>
      <right style="hair">
        <color rgb="FF5F5F5F"/>
      </right>
      <top style="hair">
        <color rgb="FF5F5F5F"/>
      </top>
      <bottom style="hair">
        <color rgb="FF5F5F5F"/>
      </bottom>
      <diagonal/>
    </border>
    <border>
      <left style="double">
        <color rgb="FF0000FF"/>
      </left>
      <right/>
      <top/>
      <bottom/>
      <diagonal/>
    </border>
    <border>
      <left style="double">
        <color rgb="FF0000FF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rgb="FF0000FF"/>
      </right>
      <top style="hair">
        <color indexed="64"/>
      </top>
      <bottom style="hair">
        <color indexed="64"/>
      </bottom>
      <diagonal/>
    </border>
    <border>
      <left/>
      <right style="double">
        <color rgb="FF0000FF"/>
      </right>
      <top/>
      <bottom style="double">
        <color rgb="FF0000FF"/>
      </bottom>
      <diagonal/>
    </border>
    <border>
      <left style="double">
        <color rgb="FF0000FF"/>
      </left>
      <right/>
      <top/>
      <bottom style="double">
        <color rgb="FF0000FF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23"/>
      </left>
      <right style="hair">
        <color indexed="23"/>
      </right>
      <top style="thin">
        <color rgb="FF5F5F5F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77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5" fillId="0" borderId="0"/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6" fillId="0" borderId="6">
      <protection locked="0"/>
    </xf>
    <xf numFmtId="0" fontId="36" fillId="0" borderId="6">
      <protection locked="0"/>
    </xf>
    <xf numFmtId="41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179" fontId="38" fillId="0" borderId="0" applyFont="0" applyFill="0" applyBorder="0" applyAlignment="0" applyProtection="0"/>
    <xf numFmtId="0" fontId="39" fillId="0" borderId="0"/>
    <xf numFmtId="0" fontId="40" fillId="0" borderId="0"/>
    <xf numFmtId="0" fontId="2" fillId="0" borderId="0"/>
    <xf numFmtId="0" fontId="33" fillId="0" borderId="0"/>
    <xf numFmtId="0" fontId="41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40" fillId="0" borderId="0"/>
    <xf numFmtId="180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0" fontId="36" fillId="0" borderId="0">
      <protection locked="0"/>
    </xf>
    <xf numFmtId="0" fontId="36" fillId="0" borderId="0">
      <protection locked="0"/>
    </xf>
    <xf numFmtId="0" fontId="48" fillId="0" borderId="0"/>
    <xf numFmtId="0" fontId="33" fillId="0" borderId="0"/>
    <xf numFmtId="0" fontId="16" fillId="0" borderId="2">
      <alignment horizontal="center"/>
    </xf>
    <xf numFmtId="0" fontId="2" fillId="0" borderId="0">
      <alignment vertical="top"/>
    </xf>
    <xf numFmtId="0" fontId="16" fillId="0" borderId="2">
      <alignment horizontal="center"/>
    </xf>
    <xf numFmtId="0" fontId="16" fillId="0" borderId="0">
      <alignment vertical="top"/>
    </xf>
    <xf numFmtId="0" fontId="2" fillId="0" borderId="0"/>
    <xf numFmtId="0" fontId="16" fillId="0" borderId="0">
      <alignment horizontal="right" vertical="top" wrapText="1"/>
    </xf>
    <xf numFmtId="0" fontId="16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6" fillId="0" borderId="2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16" fillId="0" borderId="0"/>
    <xf numFmtId="0" fontId="16" fillId="0" borderId="2">
      <alignment horizontal="center" wrapText="1"/>
    </xf>
    <xf numFmtId="0" fontId="16" fillId="0" borderId="2">
      <alignment horizontal="center"/>
    </xf>
    <xf numFmtId="0" fontId="2" fillId="0" borderId="0"/>
    <xf numFmtId="0" fontId="16" fillId="0" borderId="2">
      <alignment horizontal="center" wrapText="1"/>
    </xf>
    <xf numFmtId="0" fontId="2" fillId="0" borderId="0"/>
    <xf numFmtId="0" fontId="16" fillId="0" borderId="0">
      <alignment horizontal="center"/>
    </xf>
    <xf numFmtId="0" fontId="16" fillId="0" borderId="0">
      <alignment horizontal="left" vertical="top"/>
    </xf>
    <xf numFmtId="0" fontId="2" fillId="0" borderId="2">
      <alignment vertical="top" wrapText="1"/>
    </xf>
    <xf numFmtId="0" fontId="16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39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10" fillId="0" borderId="0" xfId="0" applyFont="1" applyBorder="1"/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14" fontId="10" fillId="0" borderId="0" xfId="0" applyNumberFormat="1" applyFont="1"/>
    <xf numFmtId="0" fontId="11" fillId="0" borderId="0" xfId="0" applyFont="1" applyBorder="1" applyAlignment="1">
      <alignment horizontal="justify" vertical="top" wrapText="1"/>
    </xf>
    <xf numFmtId="3" fontId="11" fillId="0" borderId="0" xfId="0" applyNumberFormat="1" applyFont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justify"/>
    </xf>
    <xf numFmtId="3" fontId="10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24" fillId="0" borderId="0" xfId="0" applyFont="1" applyFill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6" fillId="0" borderId="0" xfId="0" applyFont="1"/>
    <xf numFmtId="0" fontId="27" fillId="0" borderId="0" xfId="0" applyFont="1" applyFill="1" applyAlignment="1">
      <alignment vertical="center" wrapText="1"/>
    </xf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28" fillId="0" borderId="0" xfId="0" applyFont="1" applyAlignment="1">
      <alignment horizontal="left" vertical="top"/>
    </xf>
    <xf numFmtId="0" fontId="11" fillId="0" borderId="0" xfId="0" applyFont="1" applyFill="1"/>
    <xf numFmtId="0" fontId="26" fillId="0" borderId="0" xfId="0" applyFont="1" applyFill="1"/>
    <xf numFmtId="14" fontId="10" fillId="0" borderId="0" xfId="0" applyNumberFormat="1" applyFont="1" applyFill="1"/>
    <xf numFmtId="10" fontId="10" fillId="0" borderId="0" xfId="0" applyNumberFormat="1" applyFont="1" applyFill="1"/>
    <xf numFmtId="172" fontId="21" fillId="0" borderId="0" xfId="0" applyNumberFormat="1" applyFont="1" applyFill="1"/>
    <xf numFmtId="3" fontId="19" fillId="0" borderId="0" xfId="0" applyNumberFormat="1" applyFont="1" applyFill="1" applyBorder="1"/>
    <xf numFmtId="0" fontId="1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11" fillId="0" borderId="2" xfId="0" applyFont="1" applyBorder="1" applyAlignment="1">
      <alignment horizontal="left" vertical="center" wrapText="1"/>
    </xf>
    <xf numFmtId="3" fontId="29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30" fillId="0" borderId="0" xfId="0" applyFont="1" applyAlignment="1">
      <alignment horizontal="right"/>
    </xf>
    <xf numFmtId="0" fontId="26" fillId="0" borderId="0" xfId="0" applyFont="1" applyAlignment="1">
      <alignment horizontal="left" wrapText="1"/>
    </xf>
    <xf numFmtId="0" fontId="31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6" fillId="0" borderId="0" xfId="0" applyFont="1" applyAlignment="1">
      <alignment wrapText="1"/>
    </xf>
    <xf numFmtId="0" fontId="26" fillId="0" borderId="0" xfId="0" applyFont="1" applyFill="1" applyAlignment="1">
      <alignment wrapText="1"/>
    </xf>
    <xf numFmtId="0" fontId="25" fillId="0" borderId="0" xfId="0" applyFont="1" applyAlignment="1">
      <alignment wrapText="1"/>
    </xf>
    <xf numFmtId="0" fontId="11" fillId="0" borderId="2" xfId="2" applyNumberFormat="1" applyFont="1" applyBorder="1" applyAlignment="1">
      <alignment horizontal="center" vertical="center" wrapText="1"/>
    </xf>
    <xf numFmtId="3" fontId="32" fillId="0" borderId="0" xfId="0" applyNumberFormat="1" applyFont="1"/>
    <xf numFmtId="14" fontId="11" fillId="0" borderId="0" xfId="0" applyNumberFormat="1" applyFont="1" applyAlignment="1">
      <alignment horizontal="left" vertical="center"/>
    </xf>
    <xf numFmtId="0" fontId="18" fillId="0" borderId="0" xfId="0" applyFont="1" applyFill="1" applyAlignment="1">
      <alignment vertical="center" wrapText="1"/>
    </xf>
    <xf numFmtId="0" fontId="34" fillId="0" borderId="0" xfId="0" applyFont="1" applyFill="1" applyAlignment="1">
      <alignment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3" fontId="10" fillId="0" borderId="0" xfId="0" applyNumberFormat="1" applyFont="1"/>
    <xf numFmtId="0" fontId="11" fillId="0" borderId="0" xfId="0" applyFont="1" applyAlignment="1">
      <alignment horizontal="right"/>
    </xf>
    <xf numFmtId="1" fontId="10" fillId="0" borderId="0" xfId="0" applyNumberFormat="1" applyFont="1" applyAlignment="1">
      <alignment vertical="center"/>
    </xf>
    <xf numFmtId="174" fontId="10" fillId="0" borderId="0" xfId="0" applyNumberFormat="1" applyFont="1" applyAlignment="1">
      <alignment vertical="center"/>
    </xf>
    <xf numFmtId="0" fontId="10" fillId="0" borderId="0" xfId="0" applyNumberFormat="1" applyFont="1" applyAlignment="1">
      <alignment vertical="center"/>
    </xf>
    <xf numFmtId="174" fontId="10" fillId="0" borderId="0" xfId="0" applyNumberFormat="1" applyFont="1" applyBorder="1"/>
    <xf numFmtId="175" fontId="10" fillId="0" borderId="0" xfId="0" applyNumberFormat="1" applyFont="1" applyAlignment="1">
      <alignment vertical="center"/>
    </xf>
    <xf numFmtId="176" fontId="10" fillId="0" borderId="0" xfId="0" applyNumberFormat="1" applyFont="1" applyAlignment="1">
      <alignment vertical="center"/>
    </xf>
    <xf numFmtId="177" fontId="10" fillId="0" borderId="0" xfId="0" applyNumberFormat="1" applyFont="1" applyAlignment="1">
      <alignment vertical="center"/>
    </xf>
    <xf numFmtId="0" fontId="29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2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1" fillId="0" borderId="0" xfId="0" applyFont="1" applyBorder="1"/>
    <xf numFmtId="0" fontId="44" fillId="0" borderId="0" xfId="0" applyFont="1" applyAlignment="1">
      <alignment horizontal="right" vertical="center"/>
    </xf>
    <xf numFmtId="0" fontId="44" fillId="0" borderId="0" xfId="0" applyFont="1" applyAlignment="1">
      <alignment horizontal="right" vertical="center" wrapText="1"/>
    </xf>
    <xf numFmtId="166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183" fontId="10" fillId="0" borderId="0" xfId="0" applyNumberFormat="1" applyFont="1" applyAlignment="1">
      <alignment vertical="center"/>
    </xf>
    <xf numFmtId="184" fontId="10" fillId="0" borderId="0" xfId="0" applyNumberFormat="1" applyFont="1" applyAlignment="1">
      <alignment vertical="center"/>
    </xf>
    <xf numFmtId="170" fontId="10" fillId="0" borderId="0" xfId="0" applyNumberFormat="1" applyFont="1" applyAlignment="1">
      <alignment vertical="center"/>
    </xf>
    <xf numFmtId="185" fontId="10" fillId="0" borderId="0" xfId="0" applyNumberFormat="1" applyFont="1" applyAlignment="1">
      <alignment vertical="center"/>
    </xf>
    <xf numFmtId="186" fontId="10" fillId="0" borderId="0" xfId="0" applyNumberFormat="1" applyFont="1" applyAlignment="1">
      <alignment vertical="center"/>
    </xf>
    <xf numFmtId="177" fontId="26" fillId="0" borderId="0" xfId="0" applyNumberFormat="1" applyFont="1" applyAlignment="1">
      <alignment wrapText="1"/>
    </xf>
    <xf numFmtId="0" fontId="16" fillId="2" borderId="0" xfId="1" applyFont="1" applyFill="1" applyBorder="1" applyAlignment="1">
      <alignment horizontal="center" vertical="center"/>
    </xf>
    <xf numFmtId="0" fontId="16" fillId="0" borderId="0" xfId="1" applyFont="1" applyFill="1"/>
    <xf numFmtId="0" fontId="20" fillId="0" borderId="0" xfId="1" applyFont="1" applyFill="1" applyAlignment="1">
      <alignment vertical="justify"/>
    </xf>
    <xf numFmtId="0" fontId="16" fillId="0" borderId="0" xfId="1" applyFont="1" applyFill="1" applyBorder="1"/>
    <xf numFmtId="0" fontId="16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" vertical="center"/>
    </xf>
    <xf numFmtId="9" fontId="16" fillId="0" borderId="0" xfId="2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/>
    </xf>
    <xf numFmtId="187" fontId="45" fillId="0" borderId="0" xfId="0" applyNumberFormat="1" applyFont="1" applyBorder="1" applyAlignment="1" applyProtection="1">
      <alignment horizontal="center" vertical="center"/>
      <protection hidden="1"/>
    </xf>
    <xf numFmtId="14" fontId="45" fillId="0" borderId="0" xfId="0" applyNumberFormat="1" applyFont="1" applyBorder="1" applyAlignment="1" applyProtection="1">
      <alignment horizontal="center" vertical="center"/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188" fontId="45" fillId="0" borderId="0" xfId="2" applyNumberFormat="1" applyFont="1" applyBorder="1" applyAlignment="1" applyProtection="1">
      <alignment horizontal="center" vertical="center"/>
      <protection hidden="1"/>
    </xf>
    <xf numFmtId="1" fontId="16" fillId="2" borderId="10" xfId="1" applyNumberFormat="1" applyFont="1" applyFill="1" applyBorder="1" applyAlignment="1">
      <alignment horizontal="center" vertical="center"/>
    </xf>
    <xf numFmtId="1" fontId="16" fillId="2" borderId="10" xfId="1" applyNumberFormat="1" applyFont="1" applyFill="1" applyBorder="1" applyAlignment="1" applyProtection="1">
      <alignment horizontal="center" vertical="center"/>
      <protection hidden="1"/>
    </xf>
    <xf numFmtId="0" fontId="16" fillId="0" borderId="10" xfId="1" applyFont="1" applyFill="1" applyBorder="1"/>
    <xf numFmtId="0" fontId="16" fillId="0" borderId="10" xfId="1" applyFont="1" applyFill="1" applyBorder="1" applyAlignment="1">
      <alignment horizontal="left" vertical="center"/>
    </xf>
    <xf numFmtId="0" fontId="16" fillId="0" borderId="10" xfId="1" applyFont="1" applyFill="1" applyBorder="1" applyAlignment="1">
      <alignment horizontal="center" vertical="center"/>
    </xf>
    <xf numFmtId="9" fontId="16" fillId="0" borderId="10" xfId="2" applyFont="1" applyFill="1" applyBorder="1" applyAlignment="1">
      <alignment horizontal="center" vertical="center"/>
    </xf>
    <xf numFmtId="10" fontId="16" fillId="0" borderId="10" xfId="2" applyNumberFormat="1" applyFont="1" applyFill="1" applyBorder="1" applyAlignment="1">
      <alignment horizontal="center" vertical="center"/>
    </xf>
    <xf numFmtId="164" fontId="16" fillId="0" borderId="10" xfId="2" applyNumberFormat="1" applyFont="1" applyFill="1" applyBorder="1" applyAlignment="1">
      <alignment horizontal="center" vertical="center"/>
    </xf>
    <xf numFmtId="0" fontId="16" fillId="0" borderId="10" xfId="1" applyFont="1" applyFill="1" applyBorder="1" applyAlignment="1">
      <alignment vertical="center"/>
    </xf>
    <xf numFmtId="0" fontId="16" fillId="0" borderId="10" xfId="1" applyFont="1" applyFill="1" applyBorder="1" applyAlignment="1"/>
    <xf numFmtId="0" fontId="16" fillId="8" borderId="10" xfId="1" applyFont="1" applyFill="1" applyBorder="1" applyAlignment="1">
      <alignment horizontal="center" vertical="center"/>
    </xf>
    <xf numFmtId="10" fontId="16" fillId="2" borderId="10" xfId="1" applyNumberFormat="1" applyFont="1" applyFill="1" applyBorder="1" applyAlignment="1" applyProtection="1">
      <alignment horizontal="center" vertical="center"/>
      <protection hidden="1"/>
    </xf>
    <xf numFmtId="0" fontId="16" fillId="2" borderId="10" xfId="1" applyFont="1" applyFill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10" fontId="16" fillId="2" borderId="10" xfId="2" applyNumberFormat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vertical="justify"/>
    </xf>
    <xf numFmtId="0" fontId="49" fillId="0" borderId="0" xfId="1" applyFont="1" applyFill="1" applyBorder="1"/>
    <xf numFmtId="0" fontId="0" fillId="0" borderId="0" xfId="0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49" fontId="48" fillId="12" borderId="1" xfId="0" applyNumberFormat="1" applyFont="1" applyFill="1" applyBorder="1" applyAlignment="1" applyProtection="1">
      <alignment horizontal="center" vertical="center"/>
      <protection hidden="1"/>
    </xf>
    <xf numFmtId="10" fontId="0" fillId="0" borderId="1" xfId="2" applyNumberFormat="1" applyFont="1" applyBorder="1" applyAlignment="1" applyProtection="1">
      <alignment horizontal="center" vertical="center"/>
      <protection hidden="1"/>
    </xf>
    <xf numFmtId="49" fontId="0" fillId="12" borderId="1" xfId="0" applyNumberFormat="1" applyFill="1" applyBorder="1" applyAlignment="1" applyProtection="1">
      <alignment horizontal="center" vertical="center"/>
      <protection hidden="1"/>
    </xf>
    <xf numFmtId="49" fontId="48" fillId="11" borderId="1" xfId="0" applyNumberFormat="1" applyFont="1" applyFill="1" applyBorder="1" applyAlignment="1" applyProtection="1">
      <alignment horizontal="center" vertical="center"/>
      <protection hidden="1"/>
    </xf>
    <xf numFmtId="49" fontId="0" fillId="11" borderId="1" xfId="0" applyNumberFormat="1" applyFill="1" applyBorder="1" applyAlignment="1" applyProtection="1">
      <alignment horizontal="center" vertical="center"/>
      <protection hidden="1"/>
    </xf>
    <xf numFmtId="49" fontId="0" fillId="13" borderId="1" xfId="0" applyNumberFormat="1" applyFill="1" applyBorder="1" applyAlignment="1" applyProtection="1">
      <alignment horizontal="center" vertical="center"/>
      <protection hidden="1"/>
    </xf>
    <xf numFmtId="49" fontId="0" fillId="10" borderId="1" xfId="0" applyNumberFormat="1" applyFill="1" applyBorder="1" applyAlignment="1" applyProtection="1">
      <alignment horizontal="center" vertical="center"/>
      <protection hidden="1"/>
    </xf>
    <xf numFmtId="49" fontId="0" fillId="3" borderId="1" xfId="0" applyNumberFormat="1" applyFill="1" applyBorder="1" applyAlignment="1" applyProtection="1">
      <alignment horizontal="center" vertical="center"/>
      <protection hidden="1"/>
    </xf>
    <xf numFmtId="49" fontId="0" fillId="14" borderId="1" xfId="0" applyNumberFormat="1" applyFill="1" applyBorder="1" applyAlignment="1" applyProtection="1">
      <alignment horizontal="center" vertical="center"/>
      <protection hidden="1"/>
    </xf>
    <xf numFmtId="0" fontId="45" fillId="0" borderId="0" xfId="1" applyFont="1" applyFill="1" applyBorder="1"/>
    <xf numFmtId="0" fontId="16" fillId="0" borderId="16" xfId="1" applyFont="1" applyFill="1" applyBorder="1"/>
    <xf numFmtId="0" fontId="16" fillId="0" borderId="17" xfId="1" applyFont="1" applyFill="1" applyBorder="1"/>
    <xf numFmtId="0" fontId="16" fillId="0" borderId="19" xfId="1" applyFont="1" applyFill="1" applyBorder="1"/>
    <xf numFmtId="0" fontId="16" fillId="2" borderId="20" xfId="1" applyNumberFormat="1" applyFont="1" applyFill="1" applyBorder="1" applyAlignment="1" applyProtection="1">
      <alignment horizontal="center"/>
      <protection hidden="1"/>
    </xf>
    <xf numFmtId="0" fontId="20" fillId="0" borderId="19" xfId="1" applyFont="1" applyFill="1" applyBorder="1" applyAlignment="1">
      <alignment vertical="justify"/>
    </xf>
    <xf numFmtId="0" fontId="16" fillId="0" borderId="21" xfId="1" applyFont="1" applyFill="1" applyBorder="1"/>
    <xf numFmtId="0" fontId="0" fillId="0" borderId="22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49" fontId="48" fillId="12" borderId="22" xfId="0" applyNumberFormat="1" applyFont="1" applyFill="1" applyBorder="1" applyAlignment="1" applyProtection="1">
      <alignment horizontal="center" vertical="center"/>
      <protection hidden="1"/>
    </xf>
    <xf numFmtId="10" fontId="0" fillId="0" borderId="23" xfId="2" applyNumberFormat="1" applyFont="1" applyBorder="1" applyAlignment="1" applyProtection="1">
      <alignment horizontal="center" vertical="center"/>
      <protection hidden="1"/>
    </xf>
    <xf numFmtId="49" fontId="0" fillId="12" borderId="22" xfId="0" applyNumberFormat="1" applyFill="1" applyBorder="1" applyAlignment="1" applyProtection="1">
      <alignment horizontal="center" vertical="center"/>
      <protection hidden="1"/>
    </xf>
    <xf numFmtId="49" fontId="48" fillId="11" borderId="22" xfId="0" applyNumberFormat="1" applyFont="1" applyFill="1" applyBorder="1" applyAlignment="1" applyProtection="1">
      <alignment horizontal="center" vertical="center"/>
      <protection hidden="1"/>
    </xf>
    <xf numFmtId="49" fontId="0" fillId="11" borderId="22" xfId="0" applyNumberFormat="1" applyFill="1" applyBorder="1" applyAlignment="1" applyProtection="1">
      <alignment horizontal="center" vertical="center"/>
      <protection hidden="1"/>
    </xf>
    <xf numFmtId="49" fontId="0" fillId="13" borderId="22" xfId="0" applyNumberFormat="1" applyFill="1" applyBorder="1" applyAlignment="1" applyProtection="1">
      <alignment horizontal="center" vertical="center"/>
      <protection hidden="1"/>
    </xf>
    <xf numFmtId="49" fontId="0" fillId="10" borderId="22" xfId="0" applyNumberFormat="1" applyFill="1" applyBorder="1" applyAlignment="1" applyProtection="1">
      <alignment horizontal="center" vertical="center"/>
      <protection hidden="1"/>
    </xf>
    <xf numFmtId="49" fontId="0" fillId="3" borderId="22" xfId="0" applyNumberFormat="1" applyFill="1" applyBorder="1" applyAlignment="1" applyProtection="1">
      <alignment horizontal="center" vertical="center"/>
      <protection hidden="1"/>
    </xf>
    <xf numFmtId="49" fontId="0" fillId="14" borderId="22" xfId="0" applyNumberFormat="1" applyFill="1" applyBorder="1" applyAlignment="1" applyProtection="1">
      <alignment horizontal="center" vertical="center"/>
      <protection hidden="1"/>
    </xf>
    <xf numFmtId="0" fontId="0" fillId="0" borderId="21" xfId="0" applyBorder="1" applyProtection="1">
      <protection hidden="1"/>
    </xf>
    <xf numFmtId="0" fontId="0" fillId="0" borderId="19" xfId="0" applyBorder="1" applyProtection="1">
      <protection hidden="1"/>
    </xf>
    <xf numFmtId="49" fontId="0" fillId="14" borderId="24" xfId="0" applyNumberFormat="1" applyFill="1" applyBorder="1" applyAlignment="1" applyProtection="1">
      <alignment horizontal="center" vertical="center"/>
      <protection hidden="1"/>
    </xf>
    <xf numFmtId="10" fontId="0" fillId="0" borderId="25" xfId="2" applyNumberFormat="1" applyFont="1" applyBorder="1" applyAlignment="1" applyProtection="1">
      <alignment horizontal="center" vertical="center"/>
      <protection hidden="1"/>
    </xf>
    <xf numFmtId="49" fontId="0" fillId="14" borderId="25" xfId="0" applyNumberFormat="1" applyFill="1" applyBorder="1" applyAlignment="1" applyProtection="1">
      <alignment horizontal="center" vertical="center"/>
      <protection hidden="1"/>
    </xf>
    <xf numFmtId="10" fontId="0" fillId="0" borderId="26" xfId="2" applyNumberFormat="1" applyFont="1" applyBorder="1" applyAlignment="1" applyProtection="1">
      <alignment horizontal="center" vertical="center"/>
      <protection hidden="1"/>
    </xf>
    <xf numFmtId="0" fontId="50" fillId="0" borderId="0" xfId="0" applyFont="1" applyBorder="1" applyAlignment="1" applyProtection="1">
      <alignment horizontal="left"/>
      <protection hidden="1"/>
    </xf>
    <xf numFmtId="0" fontId="50" fillId="0" borderId="21" xfId="0" applyFont="1" applyBorder="1" applyAlignment="1" applyProtection="1">
      <alignment horizontal="left"/>
      <protection hidden="1"/>
    </xf>
    <xf numFmtId="0" fontId="16" fillId="0" borderId="29" xfId="1" applyFont="1" applyFill="1" applyBorder="1"/>
    <xf numFmtId="0" fontId="16" fillId="0" borderId="30" xfId="1" applyFont="1" applyFill="1" applyBorder="1"/>
    <xf numFmtId="0" fontId="16" fillId="0" borderId="32" xfId="1" applyFont="1" applyFill="1" applyBorder="1"/>
    <xf numFmtId="0" fontId="16" fillId="2" borderId="33" xfId="1" applyNumberFormat="1" applyFont="1" applyFill="1" applyBorder="1" applyAlignment="1" applyProtection="1">
      <alignment horizontal="center"/>
      <protection hidden="1"/>
    </xf>
    <xf numFmtId="0" fontId="20" fillId="0" borderId="32" xfId="1" applyFont="1" applyFill="1" applyBorder="1" applyAlignment="1">
      <alignment vertical="justify"/>
    </xf>
    <xf numFmtId="0" fontId="16" fillId="0" borderId="34" xfId="1" applyFont="1" applyFill="1" applyBorder="1"/>
    <xf numFmtId="0" fontId="50" fillId="0" borderId="34" xfId="0" applyFont="1" applyBorder="1" applyAlignment="1" applyProtection="1">
      <alignment horizontal="left"/>
      <protection hidden="1"/>
    </xf>
    <xf numFmtId="0" fontId="0" fillId="0" borderId="35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49" fontId="48" fillId="12" borderId="35" xfId="0" applyNumberFormat="1" applyFont="1" applyFill="1" applyBorder="1" applyAlignment="1" applyProtection="1">
      <alignment horizontal="center" vertical="center"/>
      <protection hidden="1"/>
    </xf>
    <xf numFmtId="10" fontId="0" fillId="0" borderId="36" xfId="2" applyNumberFormat="1" applyFont="1" applyBorder="1" applyAlignment="1" applyProtection="1">
      <alignment horizontal="center" vertical="center"/>
      <protection hidden="1"/>
    </xf>
    <xf numFmtId="49" fontId="0" fillId="12" borderId="35" xfId="0" applyNumberFormat="1" applyFill="1" applyBorder="1" applyAlignment="1" applyProtection="1">
      <alignment horizontal="center" vertical="center"/>
      <protection hidden="1"/>
    </xf>
    <xf numFmtId="49" fontId="48" fillId="11" borderId="35" xfId="0" applyNumberFormat="1" applyFont="1" applyFill="1" applyBorder="1" applyAlignment="1" applyProtection="1">
      <alignment horizontal="center" vertical="center"/>
      <protection hidden="1"/>
    </xf>
    <xf numFmtId="49" fontId="0" fillId="11" borderId="35" xfId="0" applyNumberFormat="1" applyFill="1" applyBorder="1" applyAlignment="1" applyProtection="1">
      <alignment horizontal="center" vertical="center"/>
      <protection hidden="1"/>
    </xf>
    <xf numFmtId="49" fontId="0" fillId="13" borderId="35" xfId="0" applyNumberFormat="1" applyFill="1" applyBorder="1" applyAlignment="1" applyProtection="1">
      <alignment horizontal="center" vertical="center"/>
      <protection hidden="1"/>
    </xf>
    <xf numFmtId="49" fontId="0" fillId="10" borderId="35" xfId="0" applyNumberFormat="1" applyFill="1" applyBorder="1" applyAlignment="1" applyProtection="1">
      <alignment horizontal="center" vertical="center"/>
      <protection hidden="1"/>
    </xf>
    <xf numFmtId="0" fontId="0" fillId="0" borderId="34" xfId="0" applyBorder="1" applyProtection="1">
      <protection hidden="1"/>
    </xf>
    <xf numFmtId="0" fontId="0" fillId="0" borderId="32" xfId="0" applyBorder="1" applyProtection="1">
      <protection hidden="1"/>
    </xf>
    <xf numFmtId="0" fontId="0" fillId="0" borderId="32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0" fontId="0" fillId="0" borderId="32" xfId="2" applyNumberFormat="1" applyFont="1" applyBorder="1" applyAlignment="1" applyProtection="1">
      <alignment horizontal="center" vertical="center"/>
      <protection hidden="1"/>
    </xf>
    <xf numFmtId="10" fontId="0" fillId="0" borderId="37" xfId="2" applyNumberFormat="1" applyFont="1" applyBorder="1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10" fontId="0" fillId="0" borderId="19" xfId="2" applyNumberFormat="1" applyFont="1" applyBorder="1" applyAlignment="1" applyProtection="1">
      <alignment horizontal="center" vertical="center"/>
      <protection hidden="1"/>
    </xf>
    <xf numFmtId="10" fontId="0" fillId="0" borderId="39" xfId="2" applyNumberFormat="1" applyFont="1" applyBorder="1" applyAlignment="1" applyProtection="1">
      <alignment horizontal="center" vertical="center"/>
      <protection hidden="1"/>
    </xf>
    <xf numFmtId="0" fontId="0" fillId="0" borderId="40" xfId="0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top"/>
    </xf>
    <xf numFmtId="14" fontId="14" fillId="0" borderId="0" xfId="0" applyNumberFormat="1" applyFont="1" applyFill="1" applyBorder="1" applyAlignment="1" applyProtection="1">
      <alignment horizontal="left"/>
    </xf>
    <xf numFmtId="0" fontId="7" fillId="0" borderId="0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vertical="top" wrapText="1"/>
    </xf>
    <xf numFmtId="10" fontId="7" fillId="0" borderId="0" xfId="2" applyNumberFormat="1" applyFont="1" applyFill="1" applyBorder="1" applyProtection="1"/>
    <xf numFmtId="9" fontId="7" fillId="0" borderId="0" xfId="0" applyNumberFormat="1" applyFont="1" applyFill="1" applyBorder="1" applyProtection="1"/>
    <xf numFmtId="9" fontId="7" fillId="0" borderId="0" xfId="2" applyNumberFormat="1" applyFont="1" applyFill="1" applyBorder="1" applyProtection="1"/>
    <xf numFmtId="165" fontId="7" fillId="0" borderId="0" xfId="2" applyNumberFormat="1" applyFont="1" applyFill="1" applyBorder="1" applyProtection="1"/>
    <xf numFmtId="0" fontId="14" fillId="0" borderId="0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wrapText="1"/>
    </xf>
    <xf numFmtId="10" fontId="7" fillId="0" borderId="0" xfId="0" applyNumberFormat="1" applyFont="1" applyFill="1" applyBorder="1" applyProtection="1"/>
    <xf numFmtId="0" fontId="8" fillId="0" borderId="0" xfId="0" applyFont="1" applyBorder="1" applyProtection="1"/>
    <xf numFmtId="0" fontId="5" fillId="4" borderId="8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12" fillId="6" borderId="8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5" fillId="6" borderId="8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14" fontId="46" fillId="7" borderId="9" xfId="0" applyNumberFormat="1" applyFont="1" applyFill="1" applyBorder="1" applyAlignment="1" applyProtection="1">
      <alignment horizontal="center" vertical="center"/>
    </xf>
    <xf numFmtId="49" fontId="7" fillId="7" borderId="9" xfId="0" applyNumberFormat="1" applyFont="1" applyFill="1" applyBorder="1" applyAlignment="1" applyProtection="1">
      <alignment horizontal="center" vertical="center" wrapText="1"/>
    </xf>
    <xf numFmtId="169" fontId="7" fillId="7" borderId="9" xfId="0" applyNumberFormat="1" applyFont="1" applyFill="1" applyBorder="1" applyAlignment="1" applyProtection="1">
      <alignment horizontal="center" vertical="center"/>
    </xf>
    <xf numFmtId="4" fontId="7" fillId="7" borderId="9" xfId="0" applyNumberFormat="1" applyFont="1" applyFill="1" applyBorder="1" applyAlignment="1" applyProtection="1">
      <alignment horizontal="left" vertical="center" wrapText="1"/>
    </xf>
    <xf numFmtId="3" fontId="7" fillId="5" borderId="7" xfId="0" applyNumberFormat="1" applyFont="1" applyFill="1" applyBorder="1" applyAlignment="1" applyProtection="1">
      <alignment horizontal="center" vertical="center"/>
    </xf>
    <xf numFmtId="4" fontId="7" fillId="7" borderId="7" xfId="0" applyNumberFormat="1" applyFont="1" applyFill="1" applyBorder="1" applyAlignment="1" applyProtection="1">
      <alignment horizontal="center" vertical="center"/>
    </xf>
    <xf numFmtId="3" fontId="7" fillId="7" borderId="7" xfId="0" applyNumberFormat="1" applyFont="1" applyFill="1" applyBorder="1" applyAlignment="1" applyProtection="1">
      <alignment horizontal="center" vertical="center"/>
    </xf>
    <xf numFmtId="3" fontId="7" fillId="7" borderId="9" xfId="0" applyNumberFormat="1" applyFont="1" applyFill="1" applyBorder="1" applyAlignment="1" applyProtection="1">
      <alignment horizontal="center" vertical="center"/>
    </xf>
    <xf numFmtId="3" fontId="13" fillId="7" borderId="7" xfId="0" applyNumberFormat="1" applyFont="1" applyFill="1" applyBorder="1" applyAlignment="1" applyProtection="1">
      <alignment horizontal="center" vertical="center"/>
    </xf>
    <xf numFmtId="0" fontId="8" fillId="5" borderId="7" xfId="0" applyNumberFormat="1" applyFont="1" applyFill="1" applyBorder="1" applyAlignment="1" applyProtection="1">
      <alignment horizontal="center" vertical="center"/>
    </xf>
    <xf numFmtId="189" fontId="8" fillId="7" borderId="7" xfId="0" applyNumberFormat="1" applyFont="1" applyFill="1" applyBorder="1" applyAlignment="1" applyProtection="1">
      <alignment horizontal="center" vertical="center"/>
    </xf>
    <xf numFmtId="10" fontId="8" fillId="7" borderId="7" xfId="0" applyNumberFormat="1" applyFont="1" applyFill="1" applyBorder="1" applyAlignment="1" applyProtection="1">
      <alignment horizontal="center" vertical="center"/>
    </xf>
    <xf numFmtId="3" fontId="8" fillId="7" borderId="7" xfId="0" applyNumberFormat="1" applyFont="1" applyFill="1" applyBorder="1" applyAlignment="1" applyProtection="1">
      <alignment horizontal="center" vertical="center"/>
    </xf>
    <xf numFmtId="0" fontId="8" fillId="7" borderId="7" xfId="0" applyFont="1" applyFill="1" applyBorder="1" applyAlignment="1" applyProtection="1">
      <alignment horizontal="center" vertical="center"/>
    </xf>
    <xf numFmtId="10" fontId="7" fillId="7" borderId="7" xfId="0" applyNumberFormat="1" applyFont="1" applyFill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14" fontId="46" fillId="7" borderId="7" xfId="0" applyNumberFormat="1" applyFont="1" applyFill="1" applyBorder="1" applyAlignment="1" applyProtection="1">
      <alignment horizontal="center" vertical="center"/>
    </xf>
    <xf numFmtId="14" fontId="7" fillId="7" borderId="7" xfId="0" applyNumberFormat="1" applyFont="1" applyFill="1" applyBorder="1" applyAlignment="1" applyProtection="1">
      <alignment horizontal="center" vertical="center" wrapText="1"/>
    </xf>
    <xf numFmtId="169" fontId="7" fillId="7" borderId="7" xfId="0" applyNumberFormat="1" applyFont="1" applyFill="1" applyBorder="1" applyAlignment="1" applyProtection="1">
      <alignment horizontal="center" vertical="center"/>
    </xf>
    <xf numFmtId="4" fontId="7" fillId="7" borderId="7" xfId="0" applyNumberFormat="1" applyFont="1" applyFill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right" vertical="center"/>
    </xf>
    <xf numFmtId="169" fontId="15" fillId="0" borderId="0" xfId="0" applyNumberFormat="1" applyFont="1" applyFill="1" applyBorder="1" applyAlignment="1" applyProtection="1">
      <alignment horizontal="left" vertical="center"/>
    </xf>
    <xf numFmtId="169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3" fontId="7" fillId="0" borderId="0" xfId="0" applyNumberFormat="1" applyFont="1" applyFill="1" applyBorder="1" applyAlignment="1" applyProtection="1">
      <alignment vertical="center"/>
    </xf>
    <xf numFmtId="3" fontId="13" fillId="0" borderId="0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Border="1" applyAlignment="1" applyProtection="1">
      <alignment horizontal="center" vertical="center"/>
    </xf>
    <xf numFmtId="14" fontId="8" fillId="0" borderId="0" xfId="0" applyNumberFormat="1" applyFont="1" applyFill="1" applyBorder="1" applyAlignment="1" applyProtection="1">
      <alignment horizontal="right" vertical="center"/>
    </xf>
    <xf numFmtId="10" fontId="8" fillId="0" borderId="0" xfId="0" applyNumberFormat="1" applyFont="1" applyFill="1" applyBorder="1" applyAlignment="1" applyProtection="1">
      <alignment horizontal="right" vertical="center"/>
    </xf>
    <xf numFmtId="168" fontId="8" fillId="0" borderId="0" xfId="0" applyNumberFormat="1" applyFont="1" applyBorder="1" applyAlignment="1" applyProtection="1">
      <alignment vertical="center"/>
    </xf>
    <xf numFmtId="3" fontId="8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10" fontId="7" fillId="0" borderId="0" xfId="0" applyNumberFormat="1" applyFont="1" applyFill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4" fontId="7" fillId="0" borderId="0" xfId="0" applyNumberFormat="1" applyFont="1" applyFill="1" applyAlignment="1" applyProtection="1">
      <alignment vertical="center"/>
    </xf>
    <xf numFmtId="3" fontId="7" fillId="0" borderId="0" xfId="0" applyNumberFormat="1" applyFont="1" applyFill="1" applyAlignment="1" applyProtection="1">
      <alignment vertical="center"/>
    </xf>
    <xf numFmtId="167" fontId="7" fillId="0" borderId="0" xfId="2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2" fontId="9" fillId="0" borderId="0" xfId="0" applyNumberFormat="1" applyFont="1" applyFill="1" applyAlignment="1" applyProtection="1">
      <alignment horizontal="right" vertical="center"/>
    </xf>
    <xf numFmtId="10" fontId="8" fillId="0" borderId="0" xfId="0" applyNumberFormat="1" applyFont="1" applyAlignment="1" applyProtection="1">
      <alignment vertical="center"/>
    </xf>
    <xf numFmtId="3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10" fillId="0" borderId="0" xfId="0" applyFont="1" applyProtection="1"/>
    <xf numFmtId="0" fontId="8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9" fontId="7" fillId="0" borderId="0" xfId="0" applyNumberFormat="1" applyFont="1" applyAlignment="1" applyProtection="1">
      <alignment vertical="center"/>
    </xf>
    <xf numFmtId="3" fontId="5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/>
    </xf>
    <xf numFmtId="0" fontId="8" fillId="0" borderId="0" xfId="0" applyFont="1" applyFill="1" applyBorder="1" applyAlignment="1" applyProtection="1">
      <alignment horizontal="center" vertical="center"/>
    </xf>
    <xf numFmtId="3" fontId="9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left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14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10" fontId="8" fillId="0" borderId="2" xfId="0" applyNumberFormat="1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10" fontId="7" fillId="0" borderId="2" xfId="2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8" fillId="0" borderId="0" xfId="0" applyFont="1" applyAlignment="1" applyProtection="1"/>
    <xf numFmtId="0" fontId="8" fillId="0" borderId="0" xfId="0" applyFont="1" applyFill="1" applyAlignment="1" applyProtection="1">
      <alignment horizontal="left" vertical="justify"/>
    </xf>
    <xf numFmtId="0" fontId="7" fillId="0" borderId="0" xfId="0" applyFont="1" applyProtection="1"/>
    <xf numFmtId="9" fontId="7" fillId="0" borderId="0" xfId="0" applyNumberFormat="1" applyFont="1" applyProtection="1"/>
    <xf numFmtId="3" fontId="5" fillId="0" borderId="0" xfId="0" applyNumberFormat="1" applyFont="1" applyProtection="1"/>
    <xf numFmtId="0" fontId="8" fillId="0" borderId="0" xfId="0" applyFont="1" applyAlignment="1" applyProtection="1">
      <alignment wrapText="1"/>
    </xf>
    <xf numFmtId="0" fontId="10" fillId="0" borderId="0" xfId="0" applyFont="1" applyBorder="1" applyProtection="1"/>
    <xf numFmtId="182" fontId="8" fillId="0" borderId="0" xfId="0" applyNumberFormat="1" applyFont="1" applyFill="1" applyAlignment="1" applyProtection="1">
      <alignment vertical="center"/>
    </xf>
    <xf numFmtId="1" fontId="10" fillId="0" borderId="0" xfId="0" applyNumberFormat="1" applyFont="1" applyProtection="1"/>
    <xf numFmtId="0" fontId="8" fillId="0" borderId="0" xfId="0" applyFont="1" applyAlignment="1" applyProtection="1">
      <alignment horizontal="left" vertical="justify"/>
    </xf>
    <xf numFmtId="171" fontId="8" fillId="0" borderId="0" xfId="0" applyNumberFormat="1" applyFont="1" applyFill="1" applyProtection="1"/>
    <xf numFmtId="4" fontId="8" fillId="0" borderId="0" xfId="0" applyNumberFormat="1" applyFont="1" applyFill="1" applyProtection="1"/>
    <xf numFmtId="3" fontId="8" fillId="0" borderId="0" xfId="0" applyNumberFormat="1" applyFont="1" applyFill="1" applyProtection="1"/>
    <xf numFmtId="3" fontId="8" fillId="0" borderId="0" xfId="0" applyNumberFormat="1" applyFont="1" applyProtection="1"/>
    <xf numFmtId="0" fontId="8" fillId="2" borderId="0" xfId="0" applyFont="1" applyFill="1" applyAlignment="1" applyProtection="1">
      <alignment horizontal="left" vertical="justify"/>
    </xf>
    <xf numFmtId="14" fontId="7" fillId="7" borderId="9" xfId="0" applyNumberFormat="1" applyFont="1" applyFill="1" applyBorder="1" applyAlignment="1" applyProtection="1">
      <alignment horizontal="center" vertical="center"/>
      <protection locked="0"/>
    </xf>
    <xf numFmtId="14" fontId="7" fillId="7" borderId="7" xfId="0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 applyProtection="1">
      <alignment horizontal="center" vertical="center"/>
      <protection locked="0"/>
    </xf>
    <xf numFmtId="0" fontId="8" fillId="7" borderId="7" xfId="0" applyFont="1" applyFill="1" applyBorder="1" applyAlignment="1" applyProtection="1">
      <alignment horizontal="center" vertical="center"/>
      <protection locked="0"/>
    </xf>
    <xf numFmtId="0" fontId="3" fillId="7" borderId="7" xfId="0" applyFont="1" applyFill="1" applyBorder="1" applyAlignment="1" applyProtection="1">
      <alignment horizontal="left" vertical="center" wrapText="1"/>
      <protection locked="0"/>
    </xf>
    <xf numFmtId="49" fontId="8" fillId="7" borderId="7" xfId="0" applyNumberFormat="1" applyFont="1" applyFill="1" applyBorder="1" applyAlignment="1" applyProtection="1">
      <alignment horizontal="left" vertical="center" wrapText="1"/>
      <protection locked="0"/>
    </xf>
    <xf numFmtId="3" fontId="7" fillId="5" borderId="7" xfId="0" applyNumberFormat="1" applyFont="1" applyFill="1" applyBorder="1" applyAlignment="1" applyProtection="1">
      <alignment horizontal="center" vertical="center"/>
      <protection locked="0"/>
    </xf>
    <xf numFmtId="0" fontId="8" fillId="5" borderId="7" xfId="0" applyNumberFormat="1" applyFont="1" applyFill="1" applyBorder="1" applyAlignment="1" applyProtection="1">
      <alignment horizontal="center" vertical="center"/>
      <protection locked="0"/>
    </xf>
    <xf numFmtId="168" fontId="8" fillId="5" borderId="7" xfId="0" applyNumberFormat="1" applyFont="1" applyFill="1" applyBorder="1" applyAlignment="1" applyProtection="1">
      <alignment horizontal="center" vertical="center"/>
      <protection locked="0"/>
    </xf>
    <xf numFmtId="3" fontId="8" fillId="5" borderId="7" xfId="0" applyNumberFormat="1" applyFont="1" applyFill="1" applyBorder="1" applyAlignment="1" applyProtection="1">
      <alignment horizontal="center" vertical="center"/>
      <protection locked="0"/>
    </xf>
    <xf numFmtId="49" fontId="8" fillId="7" borderId="4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/>
    </xf>
    <xf numFmtId="0" fontId="11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right" vertical="center" wrapText="1"/>
    </xf>
    <xf numFmtId="0" fontId="8" fillId="8" borderId="0" xfId="0" applyFont="1" applyFill="1" applyBorder="1" applyAlignment="1" applyProtection="1">
      <alignment horizontal="center" vertical="center"/>
    </xf>
    <xf numFmtId="14" fontId="7" fillId="8" borderId="0" xfId="0" applyNumberFormat="1" applyFont="1" applyFill="1" applyBorder="1" applyAlignment="1" applyProtection="1">
      <alignment horizontal="center" vertical="center"/>
    </xf>
    <xf numFmtId="14" fontId="50" fillId="8" borderId="0" xfId="0" applyNumberFormat="1" applyFont="1" applyFill="1" applyBorder="1" applyAlignment="1" applyProtection="1">
      <alignment horizontal="center" vertical="center" wrapText="1"/>
    </xf>
    <xf numFmtId="14" fontId="46" fillId="8" borderId="0" xfId="0" applyNumberFormat="1" applyFont="1" applyFill="1" applyBorder="1" applyAlignment="1" applyProtection="1">
      <alignment horizontal="center" vertical="center"/>
    </xf>
    <xf numFmtId="14" fontId="7" fillId="8" borderId="0" xfId="0" applyNumberFormat="1" applyFont="1" applyFill="1" applyBorder="1" applyAlignment="1" applyProtection="1">
      <alignment horizontal="center" vertical="center" wrapText="1"/>
    </xf>
    <xf numFmtId="169" fontId="7" fillId="8" borderId="0" xfId="0" applyNumberFormat="1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left" vertical="center" wrapText="1"/>
    </xf>
    <xf numFmtId="4" fontId="7" fillId="8" borderId="0" xfId="0" applyNumberFormat="1" applyFont="1" applyFill="1" applyBorder="1" applyAlignment="1" applyProtection="1">
      <alignment horizontal="left" vertical="center" wrapText="1"/>
    </xf>
    <xf numFmtId="49" fontId="8" fillId="8" borderId="0" xfId="0" applyNumberFormat="1" applyFont="1" applyFill="1" applyBorder="1" applyAlignment="1" applyProtection="1">
      <alignment horizontal="left" vertical="center" wrapText="1"/>
    </xf>
    <xf numFmtId="3" fontId="7" fillId="8" borderId="0" xfId="0" applyNumberFormat="1" applyFont="1" applyFill="1" applyBorder="1" applyAlignment="1" applyProtection="1">
      <alignment horizontal="center" vertical="center"/>
    </xf>
    <xf numFmtId="4" fontId="7" fillId="8" borderId="0" xfId="0" applyNumberFormat="1" applyFont="1" applyFill="1" applyBorder="1" applyAlignment="1" applyProtection="1">
      <alignment horizontal="center" vertical="center"/>
    </xf>
    <xf numFmtId="3" fontId="13" fillId="8" borderId="0" xfId="0" applyNumberFormat="1" applyFont="1" applyFill="1" applyBorder="1" applyAlignment="1" applyProtection="1">
      <alignment horizontal="center" vertical="center"/>
    </xf>
    <xf numFmtId="0" fontId="8" fillId="8" borderId="0" xfId="0" applyNumberFormat="1" applyFont="1" applyFill="1" applyBorder="1" applyAlignment="1" applyProtection="1">
      <alignment horizontal="center" vertical="center"/>
    </xf>
    <xf numFmtId="189" fontId="8" fillId="8" borderId="0" xfId="0" applyNumberFormat="1" applyFont="1" applyFill="1" applyBorder="1" applyAlignment="1" applyProtection="1">
      <alignment horizontal="center" vertical="center"/>
    </xf>
    <xf numFmtId="10" fontId="8" fillId="8" borderId="0" xfId="0" applyNumberFormat="1" applyFont="1" applyFill="1" applyBorder="1" applyAlignment="1" applyProtection="1">
      <alignment horizontal="center" vertical="center"/>
    </xf>
    <xf numFmtId="168" fontId="8" fillId="8" borderId="0" xfId="0" applyNumberFormat="1" applyFont="1" applyFill="1" applyBorder="1" applyAlignment="1" applyProtection="1">
      <alignment horizontal="center" vertical="center"/>
    </xf>
    <xf numFmtId="3" fontId="8" fillId="8" borderId="0" xfId="0" applyNumberFormat="1" applyFont="1" applyFill="1" applyBorder="1" applyAlignment="1" applyProtection="1">
      <alignment horizontal="center" vertical="center"/>
    </xf>
    <xf numFmtId="10" fontId="7" fillId="8" borderId="0" xfId="0" applyNumberFormat="1" applyFont="1" applyFill="1" applyBorder="1" applyAlignment="1" applyProtection="1">
      <alignment horizontal="center" vertical="center"/>
    </xf>
    <xf numFmtId="0" fontId="8" fillId="7" borderId="41" xfId="0" applyFont="1" applyFill="1" applyBorder="1" applyAlignment="1" applyProtection="1">
      <alignment horizontal="center" vertical="center"/>
      <protection locked="0"/>
    </xf>
    <xf numFmtId="14" fontId="7" fillId="7" borderId="41" xfId="0" applyNumberFormat="1" applyFont="1" applyFill="1" applyBorder="1" applyAlignment="1" applyProtection="1">
      <alignment horizontal="center" vertical="center"/>
      <protection locked="0"/>
    </xf>
    <xf numFmtId="14" fontId="46" fillId="7" borderId="41" xfId="0" applyNumberFormat="1" applyFont="1" applyFill="1" applyBorder="1" applyAlignment="1" applyProtection="1">
      <alignment horizontal="center" vertical="center"/>
    </xf>
    <xf numFmtId="14" fontId="7" fillId="7" borderId="41" xfId="0" applyNumberFormat="1" applyFont="1" applyFill="1" applyBorder="1" applyAlignment="1" applyProtection="1">
      <alignment horizontal="center" vertical="center" wrapText="1"/>
    </xf>
    <xf numFmtId="169" fontId="7" fillId="7" borderId="41" xfId="0" applyNumberFormat="1" applyFont="1" applyFill="1" applyBorder="1" applyAlignment="1" applyProtection="1">
      <alignment horizontal="center" vertical="center"/>
    </xf>
    <xf numFmtId="0" fontId="3" fillId="7" borderId="41" xfId="0" applyFont="1" applyFill="1" applyBorder="1" applyAlignment="1" applyProtection="1">
      <alignment horizontal="left" vertical="center" wrapText="1"/>
      <protection locked="0"/>
    </xf>
    <xf numFmtId="4" fontId="7" fillId="7" borderId="41" xfId="0" applyNumberFormat="1" applyFont="1" applyFill="1" applyBorder="1" applyAlignment="1" applyProtection="1">
      <alignment horizontal="left" vertical="center" wrapText="1"/>
    </xf>
    <xf numFmtId="3" fontId="7" fillId="5" borderId="41" xfId="0" applyNumberFormat="1" applyFont="1" applyFill="1" applyBorder="1" applyAlignment="1" applyProtection="1">
      <alignment horizontal="center" vertical="center"/>
      <protection locked="0"/>
    </xf>
    <xf numFmtId="4" fontId="7" fillId="7" borderId="41" xfId="0" applyNumberFormat="1" applyFont="1" applyFill="1" applyBorder="1" applyAlignment="1" applyProtection="1">
      <alignment horizontal="center" vertical="center"/>
    </xf>
    <xf numFmtId="3" fontId="7" fillId="7" borderId="41" xfId="0" applyNumberFormat="1" applyFont="1" applyFill="1" applyBorder="1" applyAlignment="1" applyProtection="1">
      <alignment horizontal="center" vertical="center"/>
    </xf>
    <xf numFmtId="3" fontId="7" fillId="5" borderId="41" xfId="0" applyNumberFormat="1" applyFont="1" applyFill="1" applyBorder="1" applyAlignment="1" applyProtection="1">
      <alignment horizontal="center" vertical="center"/>
    </xf>
    <xf numFmtId="3" fontId="7" fillId="7" borderId="13" xfId="0" applyNumberFormat="1" applyFont="1" applyFill="1" applyBorder="1" applyAlignment="1" applyProtection="1">
      <alignment horizontal="center" vertical="center"/>
    </xf>
    <xf numFmtId="3" fontId="13" fillId="7" borderId="41" xfId="0" applyNumberFormat="1" applyFont="1" applyFill="1" applyBorder="1" applyAlignment="1" applyProtection="1">
      <alignment horizontal="center" vertical="center"/>
    </xf>
    <xf numFmtId="0" fontId="8" fillId="5" borderId="41" xfId="0" applyNumberFormat="1" applyFont="1" applyFill="1" applyBorder="1" applyAlignment="1" applyProtection="1">
      <alignment horizontal="center" vertical="center"/>
      <protection locked="0"/>
    </xf>
    <xf numFmtId="0" fontId="8" fillId="5" borderId="41" xfId="0" applyNumberFormat="1" applyFont="1" applyFill="1" applyBorder="1" applyAlignment="1" applyProtection="1">
      <alignment horizontal="center" vertical="center"/>
    </xf>
    <xf numFmtId="189" fontId="8" fillId="7" borderId="41" xfId="0" applyNumberFormat="1" applyFont="1" applyFill="1" applyBorder="1" applyAlignment="1" applyProtection="1">
      <alignment horizontal="center" vertical="center"/>
    </xf>
    <xf numFmtId="10" fontId="8" fillId="7" borderId="41" xfId="0" applyNumberFormat="1" applyFont="1" applyFill="1" applyBorder="1" applyAlignment="1" applyProtection="1">
      <alignment horizontal="center" vertical="center"/>
    </xf>
    <xf numFmtId="168" fontId="8" fillId="5" borderId="41" xfId="0" applyNumberFormat="1" applyFont="1" applyFill="1" applyBorder="1" applyAlignment="1" applyProtection="1">
      <alignment horizontal="center" vertical="center"/>
      <protection locked="0"/>
    </xf>
    <xf numFmtId="3" fontId="8" fillId="5" borderId="41" xfId="0" applyNumberFormat="1" applyFont="1" applyFill="1" applyBorder="1" applyAlignment="1" applyProtection="1">
      <alignment horizontal="center" vertical="center"/>
      <protection locked="0"/>
    </xf>
    <xf numFmtId="3" fontId="8" fillId="7" borderId="41" xfId="0" applyNumberFormat="1" applyFont="1" applyFill="1" applyBorder="1" applyAlignment="1" applyProtection="1">
      <alignment horizontal="center" vertical="center"/>
    </xf>
    <xf numFmtId="0" fontId="8" fillId="7" borderId="41" xfId="0" applyFont="1" applyFill="1" applyBorder="1" applyAlignment="1" applyProtection="1">
      <alignment horizontal="center" vertical="center"/>
    </xf>
    <xf numFmtId="10" fontId="7" fillId="7" borderId="41" xfId="0" applyNumberFormat="1" applyFont="1" applyFill="1" applyBorder="1" applyAlignment="1" applyProtection="1">
      <alignment horizontal="center" vertical="center"/>
    </xf>
    <xf numFmtId="49" fontId="7" fillId="5" borderId="44" xfId="0" applyNumberFormat="1" applyFont="1" applyFill="1" applyBorder="1" applyAlignment="1" applyProtection="1">
      <alignment horizontal="left" vertical="center" wrapText="1"/>
      <protection locked="0"/>
    </xf>
    <xf numFmtId="49" fontId="23" fillId="5" borderId="42" xfId="0" applyNumberFormat="1" applyFont="1" applyFill="1" applyBorder="1" applyAlignment="1" applyProtection="1">
      <alignment horizontal="left" vertical="center" wrapText="1"/>
      <protection locked="0"/>
    </xf>
    <xf numFmtId="0" fontId="23" fillId="5" borderId="42" xfId="0" applyFont="1" applyFill="1" applyBorder="1" applyAlignment="1" applyProtection="1">
      <alignment horizontal="left" vertical="center"/>
      <protection locked="0"/>
    </xf>
    <xf numFmtId="0" fontId="9" fillId="4" borderId="8" xfId="0" applyFont="1" applyFill="1" applyBorder="1" applyAlignment="1" applyProtection="1">
      <alignment horizontal="center" vertical="center" wrapText="1"/>
    </xf>
    <xf numFmtId="0" fontId="3" fillId="15" borderId="9" xfId="0" applyFont="1" applyFill="1" applyBorder="1" applyAlignment="1" applyProtection="1">
      <alignment horizontal="left" vertical="center" wrapText="1"/>
      <protection locked="0"/>
    </xf>
    <xf numFmtId="0" fontId="50" fillId="15" borderId="42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 wrapText="1"/>
    </xf>
    <xf numFmtId="49" fontId="48" fillId="17" borderId="35" xfId="0" applyNumberFormat="1" applyFont="1" applyFill="1" applyBorder="1" applyAlignment="1" applyProtection="1">
      <alignment horizontal="center" vertical="center"/>
      <protection hidden="1"/>
    </xf>
    <xf numFmtId="49" fontId="0" fillId="17" borderId="1" xfId="0" applyNumberFormat="1" applyFill="1" applyBorder="1" applyAlignment="1" applyProtection="1">
      <alignment horizontal="center" vertical="center"/>
      <protection hidden="1"/>
    </xf>
    <xf numFmtId="9" fontId="7" fillId="0" borderId="0" xfId="2" applyNumberFormat="1" applyFont="1" applyFill="1" applyBorder="1" applyAlignment="1" applyProtection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3" fontId="7" fillId="8" borderId="0" xfId="0" applyNumberFormat="1" applyFont="1" applyFill="1" applyBorder="1" applyAlignment="1" applyProtection="1">
      <alignment horizontal="center" vertical="center"/>
      <protection locked="0"/>
    </xf>
    <xf numFmtId="3" fontId="10" fillId="2" borderId="0" xfId="0" applyNumberFormat="1" applyFont="1" applyFill="1" applyBorder="1" applyAlignment="1" applyProtection="1">
      <alignment horizontal="center" vertical="center"/>
      <protection locked="0"/>
    </xf>
    <xf numFmtId="14" fontId="50" fillId="16" borderId="43" xfId="0" applyNumberFormat="1" applyFont="1" applyFill="1" applyBorder="1" applyAlignment="1" applyProtection="1">
      <alignment horizontal="center" vertical="center" wrapText="1"/>
      <protection locked="0"/>
    </xf>
    <xf numFmtId="14" fontId="50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top" wrapText="1"/>
    </xf>
    <xf numFmtId="173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center"/>
    </xf>
    <xf numFmtId="0" fontId="16" fillId="8" borderId="28" xfId="1" applyFont="1" applyFill="1" applyBorder="1" applyAlignment="1" applyProtection="1">
      <alignment horizontal="center" vertical="center"/>
      <protection hidden="1"/>
    </xf>
    <xf numFmtId="0" fontId="16" fillId="8" borderId="27" xfId="1" applyFont="1" applyFill="1" applyBorder="1" applyAlignment="1" applyProtection="1">
      <alignment horizontal="center" vertical="center"/>
      <protection hidden="1"/>
    </xf>
    <xf numFmtId="0" fontId="16" fillId="8" borderId="31" xfId="1" applyFont="1" applyFill="1" applyBorder="1" applyAlignment="1" applyProtection="1">
      <alignment horizontal="center" vertical="center"/>
      <protection hidden="1"/>
    </xf>
    <xf numFmtId="0" fontId="16" fillId="8" borderId="14" xfId="1" applyFont="1" applyFill="1" applyBorder="1" applyAlignment="1" applyProtection="1">
      <alignment horizontal="center" vertical="center"/>
      <protection hidden="1"/>
    </xf>
    <xf numFmtId="0" fontId="16" fillId="8" borderId="18" xfId="1" applyFont="1" applyFill="1" applyBorder="1" applyAlignment="1" applyProtection="1">
      <alignment horizontal="center" vertical="center"/>
      <protection hidden="1"/>
    </xf>
    <xf numFmtId="0" fontId="16" fillId="8" borderId="15" xfId="1" applyFont="1" applyFill="1" applyBorder="1" applyAlignment="1" applyProtection="1">
      <alignment horizontal="center" vertical="center"/>
      <protection hidden="1"/>
    </xf>
  </cellXfs>
  <cellStyles count="77">
    <cellStyle name="’ћѓћ‚›‰" xfId="17"/>
    <cellStyle name="’ћѓћ‚›‰ 2" xfId="18"/>
    <cellStyle name="”ќђќ‘ћ‚›‰" xfId="7"/>
    <cellStyle name="”ќђќ‘ћ‚›‰ 2" xfId="8"/>
    <cellStyle name="”љ‘ђћ‚ђќќ›‰" xfId="9"/>
    <cellStyle name="”љ‘ђћ‚ђќќ›‰ 2" xfId="10"/>
    <cellStyle name="„…ќ…†ќ›‰" xfId="11"/>
    <cellStyle name="„…ќ…†ќ›‰ 2" xfId="12"/>
    <cellStyle name="‡ђѓћ‹ћ‚ћљ1" xfId="13"/>
    <cellStyle name="‡ђѓћ‹ћ‚ћљ1 2" xfId="14"/>
    <cellStyle name="‡ђѓћ‹ћ‚ћљ2" xfId="15"/>
    <cellStyle name="‡ђѓћ‹ћ‚ћљ2 2" xfId="16"/>
    <cellStyle name="Comma [0]_Computer Price" xfId="19"/>
    <cellStyle name="Comma_Computer Price" xfId="20"/>
    <cellStyle name="Currency [0]_Computer Price" xfId="21"/>
    <cellStyle name="Currency_Computer Price" xfId="22"/>
    <cellStyle name="Normal_ASUS" xfId="23"/>
    <cellStyle name="normбlnм_laroux" xfId="24"/>
    <cellStyle name="Акт" xfId="40"/>
    <cellStyle name="АктМТСН" xfId="41"/>
    <cellStyle name="АктМТСН 2" xfId="66"/>
    <cellStyle name="ВедРесурсов" xfId="42"/>
    <cellStyle name="ВедРесурсовАкт" xfId="43"/>
    <cellStyle name="Индексы" xfId="44"/>
    <cellStyle name="Индексы 2" xfId="67"/>
    <cellStyle name="Итоги" xfId="45"/>
    <cellStyle name="ИтогоАктБазЦ" xfId="46"/>
    <cellStyle name="ИтогоАктБИМ" xfId="47"/>
    <cellStyle name="ИтогоАктБИМ 2" xfId="68"/>
    <cellStyle name="ИтогоАктРесМет" xfId="48"/>
    <cellStyle name="ИтогоАктРесМет 2" xfId="69"/>
    <cellStyle name="ИтогоБазЦ" xfId="49"/>
    <cellStyle name="ИтогоБИМ" xfId="50"/>
    <cellStyle name="ИтогоБИМ 2" xfId="70"/>
    <cellStyle name="ИтогоРесМет" xfId="51"/>
    <cellStyle name="ИтогоРесМет 2" xfId="71"/>
    <cellStyle name="ЛокСмета" xfId="52"/>
    <cellStyle name="ЛокСмМТСН" xfId="53"/>
    <cellStyle name="ЛокСмМТСН 2" xfId="72"/>
    <cellStyle name="М29" xfId="54"/>
    <cellStyle name="М29 2" xfId="73"/>
    <cellStyle name="ОбСмета" xfId="55"/>
    <cellStyle name="ОбСмета 2" xfId="74"/>
    <cellStyle name="Обычный" xfId="0" builtinId="0"/>
    <cellStyle name="Обычный 2" xfId="3"/>
    <cellStyle name="Обычный 2 2" xfId="25"/>
    <cellStyle name="Обычный 3" xfId="26"/>
    <cellStyle name="Обычный 4" xfId="27"/>
    <cellStyle name="Обычный 4 2" xfId="28"/>
    <cellStyle name="Обычный 5" xfId="5"/>
    <cellStyle name="Обычный 6" xfId="4"/>
    <cellStyle name="Обычный 7" xfId="6"/>
    <cellStyle name="Обычный 7 2" xfId="39"/>
    <cellStyle name="Обычный 8" xfId="38"/>
    <cellStyle name="Обычный_Расчет инфляции" xfId="1"/>
    <cellStyle name="Параметр" xfId="56"/>
    <cellStyle name="ПеременныеСметы" xfId="57"/>
    <cellStyle name="Процентный" xfId="2" builtinId="5"/>
    <cellStyle name="Процентный 2" xfId="30"/>
    <cellStyle name="Процентный 2 2" xfId="75"/>
    <cellStyle name="Процентный 3" xfId="31"/>
    <cellStyle name="Процентный 4" xfId="32"/>
    <cellStyle name="Процентный 5" xfId="29"/>
    <cellStyle name="РесСмета" xfId="58"/>
    <cellStyle name="СводВедРес" xfId="59"/>
    <cellStyle name="СводкаСтоимРаб" xfId="60"/>
    <cellStyle name="СводРасч" xfId="61"/>
    <cellStyle name="СводРасч 2" xfId="76"/>
    <cellStyle name="Стиль 1" xfId="33"/>
    <cellStyle name="Титул" xfId="62"/>
    <cellStyle name="Тысячи [0]_laroux" xfId="34"/>
    <cellStyle name="Тысячи_laroux" xfId="35"/>
    <cellStyle name="Хвост" xfId="63"/>
    <cellStyle name="Ценник" xfId="64"/>
    <cellStyle name="Џђћ–…ќ’ќ›‰" xfId="36"/>
    <cellStyle name="Џђћ–…ќ’ќ›‰ 2" xfId="37"/>
    <cellStyle name="Экспертиза" xfId="65"/>
  </cellStyles>
  <dxfs count="958"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  <fill>
        <gradientFill type="path" left="0.5" right="0.5" top="0.5" bottom="0.5">
          <stop position="0">
            <color rgb="FFAFFE7A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rgb="FFCCCCFF"/>
          </stop>
        </gradient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  <fill>
        <gradientFill type="path" left="0.5" right="0.5" top="0.5" bottom="0.5">
          <stop position="0">
            <color rgb="FFAFFE7A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rgb="FFCCCCFF"/>
          </stop>
        </gradient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  <fill>
        <gradientFill type="path" left="0.5" right="0.5" top="0.5" bottom="0.5">
          <stop position="0">
            <color rgb="FFAFFE7A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rgb="FFCCCCFF"/>
          </stop>
        </gradient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ill>
        <gradientFill degree="90">
          <stop position="0">
            <color theme="0"/>
          </stop>
          <stop position="1">
            <color rgb="FFCCCCFF"/>
          </stop>
        </gradient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lor rgb="FFFF0000"/>
      </font>
    </dxf>
    <dxf>
      <font>
        <b val="0"/>
        <i val="0"/>
        <color auto="1"/>
      </font>
      <fill>
        <gradientFill type="path" left="0.5" right="0.5" top="0.5" bottom="0.5">
          <stop position="0">
            <color rgb="FFAFFE7A"/>
          </stop>
          <stop position="1">
            <color theme="0"/>
          </stop>
        </gradient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ill>
        <gradientFill degree="90">
          <stop position="0">
            <color theme="0"/>
          </stop>
          <stop position="1">
            <color rgb="FFCCCCFF"/>
          </stop>
        </gradient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ill>
        <gradientFill degree="90">
          <stop position="0">
            <color theme="0"/>
          </stop>
          <stop position="1">
            <color rgb="FFCCCCFF"/>
          </stop>
        </gradient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/>
        <i val="0"/>
        <color rgb="FFFF0000"/>
      </font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 val="0"/>
        <i val="0"/>
        <condense val="0"/>
        <extend val="0"/>
        <color auto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E0000"/>
      <color rgb="FFFFFF99"/>
      <color rgb="FFF7F7F7"/>
      <color rgb="FFAFFE7A"/>
      <color rgb="FF008E40"/>
      <color rgb="FFFF8B8B"/>
      <color rgb="FF0000FF"/>
      <color rgb="FFA4B5FE"/>
      <color rgb="FF839AFD"/>
      <color rgb="FFDAFFC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rgb="FFDAFFC1"/>
    <pageSetUpPr fitToPage="1"/>
  </sheetPr>
  <dimension ref="A1:CX115"/>
  <sheetViews>
    <sheetView showGridLines="0" showZeros="0" zoomScale="110" zoomScaleNormal="110" zoomScaleSheetLayoutView="85" workbookViewId="0">
      <pane xSplit="9" ySplit="3" topLeftCell="S4" activePane="bottomRight" state="frozen"/>
      <selection pane="topRight" activeCell="J1" sqref="J1"/>
      <selection pane="bottomLeft" activeCell="A4" sqref="A4"/>
      <selection pane="bottomRight" activeCell="C94" sqref="C94"/>
    </sheetView>
  </sheetViews>
  <sheetFormatPr defaultColWidth="9.140625" defaultRowHeight="12.75"/>
  <cols>
    <col min="1" max="1" width="3.7109375" style="285" customWidth="1"/>
    <col min="2" max="2" width="9.7109375" style="285" hidden="1" customWidth="1"/>
    <col min="3" max="3" width="13.85546875" style="285" customWidth="1"/>
    <col min="4" max="4" width="8.7109375" style="285" hidden="1" customWidth="1"/>
    <col min="5" max="5" width="8.42578125" style="285" hidden="1" customWidth="1"/>
    <col min="6" max="6" width="4.7109375" style="285" hidden="1" customWidth="1"/>
    <col min="7" max="7" width="11.7109375" style="285" customWidth="1"/>
    <col min="8" max="8" width="12.28515625" style="286" hidden="1" customWidth="1"/>
    <col min="9" max="9" width="40.7109375" style="295" customWidth="1"/>
    <col min="10" max="11" width="11" style="288" customWidth="1"/>
    <col min="12" max="12" width="15.140625" style="288" customWidth="1"/>
    <col min="13" max="13" width="10.85546875" style="288" customWidth="1"/>
    <col min="14" max="14" width="9.42578125" style="288" customWidth="1"/>
    <col min="15" max="15" width="13.5703125" style="288" customWidth="1"/>
    <col min="16" max="16" width="12.28515625" style="288" customWidth="1"/>
    <col min="17" max="17" width="9.7109375" style="288" customWidth="1"/>
    <col min="18" max="18" width="10.140625" style="288" customWidth="1"/>
    <col min="19" max="19" width="8.85546875" style="288" customWidth="1"/>
    <col min="20" max="20" width="12.85546875" style="288" customWidth="1"/>
    <col min="21" max="22" width="11.28515625" style="288" hidden="1" customWidth="1"/>
    <col min="23" max="23" width="8.7109375" style="288" customWidth="1"/>
    <col min="24" max="24" width="8.7109375" style="288" hidden="1" customWidth="1"/>
    <col min="25" max="25" width="7.7109375" style="288" hidden="1" customWidth="1"/>
    <col min="26" max="26" width="8.7109375" style="288" customWidth="1"/>
    <col min="27" max="30" width="9.42578125" style="288" hidden="1" customWidth="1"/>
    <col min="31" max="31" width="11.28515625" style="289" hidden="1" customWidth="1"/>
    <col min="32" max="35" width="9.42578125" style="289" hidden="1" customWidth="1"/>
    <col min="36" max="36" width="11.28515625" style="289" customWidth="1"/>
    <col min="37" max="37" width="11.28515625" style="289" hidden="1" customWidth="1"/>
    <col min="38" max="39" width="11.28515625" style="288" customWidth="1"/>
    <col min="40" max="41" width="11.28515625" style="288" hidden="1" customWidth="1"/>
    <col min="42" max="42" width="11.28515625" style="290" hidden="1" customWidth="1"/>
    <col min="43" max="44" width="9.7109375" style="258" customWidth="1"/>
    <col min="45" max="46" width="9.7109375" style="258" hidden="1" customWidth="1"/>
    <col min="47" max="47" width="11.5703125" style="285" customWidth="1"/>
    <col min="48" max="48" width="11.5703125" style="285" hidden="1" customWidth="1"/>
    <col min="49" max="49" width="8.42578125" style="285" customWidth="1"/>
    <col min="50" max="50" width="8.42578125" style="285" hidden="1" customWidth="1"/>
    <col min="51" max="51" width="10.7109375" style="285" customWidth="1"/>
    <col min="52" max="52" width="10.7109375" style="285" hidden="1" customWidth="1"/>
    <col min="53" max="54" width="9.140625" style="285" customWidth="1"/>
    <col min="55" max="55" width="9.7109375" style="285" hidden="1" customWidth="1"/>
    <col min="56" max="56" width="7.7109375" style="291" hidden="1" customWidth="1"/>
    <col min="57" max="60" width="10.140625" style="285" hidden="1" customWidth="1"/>
    <col min="61" max="61" width="10.28515625" style="285" hidden="1" customWidth="1"/>
    <col min="62" max="62" width="3.140625" style="292" customWidth="1"/>
    <col min="63" max="78" width="9.140625" style="266" customWidth="1"/>
    <col min="79" max="80" width="9.28515625" style="266" customWidth="1"/>
    <col min="81" max="87" width="9.140625" style="266" customWidth="1"/>
    <col min="88" max="88" width="9.42578125" style="266" customWidth="1"/>
    <col min="89" max="94" width="9.140625" style="266" customWidth="1"/>
    <col min="95" max="95" width="10.140625" style="266" customWidth="1"/>
    <col min="96" max="16384" width="9.140625" style="266"/>
  </cols>
  <sheetData>
    <row r="1" spans="1:102" s="202" customFormat="1" ht="12" customHeight="1">
      <c r="A1" s="189"/>
      <c r="B1" s="190"/>
      <c r="C1" s="190"/>
      <c r="D1" s="190"/>
      <c r="E1" s="190"/>
      <c r="F1" s="190"/>
      <c r="G1" s="191"/>
      <c r="H1" s="192"/>
      <c r="I1" s="191"/>
      <c r="J1" s="372" t="s">
        <v>237</v>
      </c>
      <c r="K1" s="373"/>
      <c r="L1" s="373"/>
      <c r="M1" s="373"/>
      <c r="N1" s="374"/>
      <c r="O1" s="191"/>
      <c r="P1" s="191"/>
      <c r="Q1" s="191"/>
      <c r="R1" s="191"/>
      <c r="S1" s="191"/>
      <c r="T1" s="191"/>
      <c r="U1" s="193"/>
      <c r="V1" s="193"/>
      <c r="W1" s="194"/>
      <c r="X1" s="194"/>
      <c r="Y1" s="194"/>
      <c r="Z1" s="194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1"/>
      <c r="AM1" s="366">
        <v>0.18</v>
      </c>
      <c r="AN1" s="196"/>
      <c r="AO1" s="196"/>
      <c r="AP1" s="197"/>
      <c r="AQ1" s="198"/>
      <c r="AR1" s="198"/>
      <c r="AS1" s="199"/>
      <c r="AT1" s="199"/>
      <c r="AU1" s="191"/>
      <c r="AV1" s="191"/>
      <c r="AW1" s="191">
        <v>2018</v>
      </c>
      <c r="AX1" s="191">
        <v>2019</v>
      </c>
      <c r="AY1" s="191"/>
      <c r="AZ1" s="191"/>
      <c r="BA1" s="191"/>
      <c r="BB1" s="191"/>
      <c r="BC1" s="191"/>
      <c r="BD1" s="200"/>
      <c r="BE1" s="201"/>
      <c r="BF1" s="201"/>
      <c r="BG1" s="201"/>
      <c r="BH1" s="201"/>
      <c r="BI1" s="201"/>
    </row>
    <row r="2" spans="1:102" s="208" customFormat="1" ht="52.5" customHeight="1">
      <c r="A2" s="203" t="s">
        <v>67</v>
      </c>
      <c r="B2" s="204" t="s">
        <v>22</v>
      </c>
      <c r="C2" s="204" t="s">
        <v>247</v>
      </c>
      <c r="D2" s="204" t="s">
        <v>97</v>
      </c>
      <c r="E2" s="204" t="s">
        <v>103</v>
      </c>
      <c r="F2" s="204" t="s">
        <v>8</v>
      </c>
      <c r="G2" s="204" t="s">
        <v>52</v>
      </c>
      <c r="H2" s="204" t="s">
        <v>82</v>
      </c>
      <c r="I2" s="204" t="s">
        <v>85</v>
      </c>
      <c r="J2" s="204" t="s">
        <v>79</v>
      </c>
      <c r="K2" s="204" t="s">
        <v>92</v>
      </c>
      <c r="L2" s="204" t="s">
        <v>221</v>
      </c>
      <c r="M2" s="204" t="s">
        <v>6</v>
      </c>
      <c r="N2" s="204" t="s">
        <v>54</v>
      </c>
      <c r="O2" s="203" t="s">
        <v>78</v>
      </c>
      <c r="P2" s="204" t="s">
        <v>63</v>
      </c>
      <c r="Q2" s="204" t="s">
        <v>64</v>
      </c>
      <c r="R2" s="204" t="s">
        <v>66</v>
      </c>
      <c r="S2" s="204" t="s">
        <v>83</v>
      </c>
      <c r="T2" s="203" t="s">
        <v>220</v>
      </c>
      <c r="U2" s="203" t="s">
        <v>59</v>
      </c>
      <c r="V2" s="203" t="s">
        <v>44</v>
      </c>
      <c r="W2" s="204" t="s">
        <v>7</v>
      </c>
      <c r="X2" s="204" t="s">
        <v>69</v>
      </c>
      <c r="Y2" s="204" t="s">
        <v>71</v>
      </c>
      <c r="Z2" s="205" t="s">
        <v>223</v>
      </c>
      <c r="AA2" s="204" t="s">
        <v>89</v>
      </c>
      <c r="AB2" s="204" t="s">
        <v>30</v>
      </c>
      <c r="AC2" s="204" t="s">
        <v>61</v>
      </c>
      <c r="AD2" s="204" t="s">
        <v>70</v>
      </c>
      <c r="AE2" s="203" t="s">
        <v>94</v>
      </c>
      <c r="AF2" s="204" t="s">
        <v>48</v>
      </c>
      <c r="AG2" s="204" t="s">
        <v>49</v>
      </c>
      <c r="AH2" s="204" t="s">
        <v>50</v>
      </c>
      <c r="AI2" s="204" t="s">
        <v>51</v>
      </c>
      <c r="AJ2" s="358" t="s">
        <v>246</v>
      </c>
      <c r="AK2" s="203" t="str">
        <f>"Итого на "&amp;$AW$1&amp;" год расходы и затраты, руб."</f>
        <v>Итого на 2018 год расходы и затраты, руб.</v>
      </c>
      <c r="AL2" s="203" t="str">
        <f>"Инфляция "&amp;$AW$1&amp;" года, руб."</f>
        <v>Инфляция 2018 года, руб.</v>
      </c>
      <c r="AM2" s="203" t="str">
        <f>"НДС "&amp;$AW$1&amp;" года, руб."</f>
        <v>НДС 2018 года, руб.</v>
      </c>
      <c r="AN2" s="203" t="str">
        <f>"Инфляция "&amp;$AX$1&amp;" года, руб."</f>
        <v>Инфляция 2019 года, руб.</v>
      </c>
      <c r="AO2" s="203" t="str">
        <f>"НДС "&amp;$AX$1&amp;" года, руб."</f>
        <v>НДС 2019 года, руб.</v>
      </c>
      <c r="AP2" s="203" t="s">
        <v>222</v>
      </c>
      <c r="AQ2" s="204" t="str">
        <f>"Начало срока фин-я работ в "&amp;$AW$1&amp;" г (Месяц)"</f>
        <v>Начало срока фин-я работ в 2018 г (Месяц)</v>
      </c>
      <c r="AR2" s="204" t="str">
        <f>"Конец срока фин-я работ в "&amp;$AW$1&amp;" г (Месяц)"</f>
        <v>Конец срока фин-я работ в 2018 г (Месяц)</v>
      </c>
      <c r="AS2" s="204" t="str">
        <f>"Начало срока фин-я работ в "&amp;$AX$1&amp;" г (Месяц)"</f>
        <v>Начало срока фин-я работ в 2019 г (Месяц)</v>
      </c>
      <c r="AT2" s="204" t="str">
        <f>"Конец срока фин-я работ в "&amp;$AX$1&amp;" г (Месяц)"</f>
        <v>Конец срока фин-я работ в 2019 г (Месяц)</v>
      </c>
      <c r="AU2" s="203" t="str">
        <f>"Середина срока фин-я работ в "&amp;$AW$1&amp;" г"</f>
        <v>Середина срока фин-я работ в 2018 г</v>
      </c>
      <c r="AV2" s="203" t="str">
        <f>"Середина срока фин-я работ в "&amp;$AX$1&amp;" г"</f>
        <v>Середина срока фин-я работ в 2019 г</v>
      </c>
      <c r="AW2" s="203" t="str">
        <f>"Инфл. "&amp;$AW$1&amp;" г, %"</f>
        <v>Инфл. 2018 г, %</v>
      </c>
      <c r="AX2" s="203" t="str">
        <f>"Инфл. "&amp;$AX$1&amp;" г, %"</f>
        <v>Инфл. 2019 г, %</v>
      </c>
      <c r="AY2" s="203" t="str">
        <f>"Финансирование в "&amp;$AW$1&amp;" году"</f>
        <v>Финансирование в 2018 году</v>
      </c>
      <c r="AZ2" s="203" t="str">
        <f>"Финансирование в "&amp;$AX$1&amp;" году"</f>
        <v>Финансирование в 2019 году</v>
      </c>
      <c r="BA2" s="204" t="s">
        <v>93</v>
      </c>
      <c r="BB2" s="204" t="s">
        <v>226</v>
      </c>
      <c r="BC2" s="203" t="s">
        <v>195</v>
      </c>
      <c r="BD2" s="203" t="s">
        <v>84</v>
      </c>
      <c r="BE2" s="203" t="s">
        <v>23</v>
      </c>
      <c r="BF2" s="203" t="s">
        <v>0</v>
      </c>
      <c r="BG2" s="203" t="s">
        <v>24</v>
      </c>
      <c r="BH2" s="203" t="s">
        <v>45</v>
      </c>
      <c r="BI2" s="203" t="s">
        <v>10</v>
      </c>
      <c r="BJ2" s="206"/>
      <c r="BK2" s="367" t="s">
        <v>40</v>
      </c>
      <c r="BL2" s="367" t="s">
        <v>4</v>
      </c>
      <c r="BM2" s="367" t="s">
        <v>238</v>
      </c>
      <c r="BN2" s="367" t="s">
        <v>248</v>
      </c>
      <c r="BO2" s="367" t="s">
        <v>271</v>
      </c>
      <c r="BP2" s="367" t="s">
        <v>272</v>
      </c>
      <c r="BQ2" s="367" t="s">
        <v>273</v>
      </c>
      <c r="BR2" s="367" t="s">
        <v>274</v>
      </c>
      <c r="BS2" s="367" t="s">
        <v>249</v>
      </c>
      <c r="BT2" s="367" t="s">
        <v>250</v>
      </c>
      <c r="BU2" s="367" t="s">
        <v>251</v>
      </c>
      <c r="BV2" s="367" t="s">
        <v>100</v>
      </c>
      <c r="BW2" s="367" t="s">
        <v>252</v>
      </c>
      <c r="BX2" s="367" t="s">
        <v>253</v>
      </c>
      <c r="BY2" s="367" t="s">
        <v>254</v>
      </c>
      <c r="BZ2" s="367" t="s">
        <v>279</v>
      </c>
      <c r="CA2" s="367" t="s">
        <v>255</v>
      </c>
      <c r="CB2" s="367" t="s">
        <v>275</v>
      </c>
      <c r="CC2" s="367" t="s">
        <v>276</v>
      </c>
      <c r="CD2" s="367" t="s">
        <v>256</v>
      </c>
      <c r="CE2" s="367" t="s">
        <v>277</v>
      </c>
      <c r="CF2" s="367" t="s">
        <v>278</v>
      </c>
      <c r="CG2" s="367" t="s">
        <v>257</v>
      </c>
      <c r="CH2" s="367" t="s">
        <v>258</v>
      </c>
      <c r="CI2" s="367" t="s">
        <v>259</v>
      </c>
      <c r="CJ2" s="367" t="s">
        <v>260</v>
      </c>
      <c r="CK2" s="367" t="s">
        <v>261</v>
      </c>
      <c r="CL2" s="367" t="s">
        <v>262</v>
      </c>
      <c r="CM2" s="367" t="s">
        <v>101</v>
      </c>
      <c r="CN2" s="367" t="s">
        <v>263</v>
      </c>
      <c r="CO2" s="367" t="s">
        <v>196</v>
      </c>
      <c r="CP2" s="367" t="s">
        <v>264</v>
      </c>
      <c r="CQ2" s="367" t="s">
        <v>162</v>
      </c>
      <c r="CR2" s="367" t="s">
        <v>163</v>
      </c>
      <c r="CS2" s="367" t="s">
        <v>265</v>
      </c>
      <c r="CT2" s="367" t="s">
        <v>266</v>
      </c>
      <c r="CU2" s="367" t="s">
        <v>267</v>
      </c>
      <c r="CV2" s="367" t="s">
        <v>268</v>
      </c>
      <c r="CW2" s="367" t="s">
        <v>269</v>
      </c>
      <c r="CX2" s="367" t="s">
        <v>270</v>
      </c>
    </row>
    <row r="3" spans="1:102" s="210" customFormat="1" ht="12.75" customHeight="1">
      <c r="A3" s="203">
        <v>1</v>
      </c>
      <c r="B3" s="204">
        <f>A3+1</f>
        <v>2</v>
      </c>
      <c r="C3" s="204">
        <f t="shared" ref="C3:AJ3" si="0">B3+1</f>
        <v>3</v>
      </c>
      <c r="D3" s="204">
        <f t="shared" si="0"/>
        <v>4</v>
      </c>
      <c r="E3" s="204">
        <f>D3+1</f>
        <v>5</v>
      </c>
      <c r="F3" s="204">
        <f t="shared" si="0"/>
        <v>6</v>
      </c>
      <c r="G3" s="204">
        <f>F3+1</f>
        <v>7</v>
      </c>
      <c r="H3" s="204">
        <f t="shared" si="0"/>
        <v>8</v>
      </c>
      <c r="I3" s="204">
        <f>H3+1</f>
        <v>9</v>
      </c>
      <c r="J3" s="204">
        <f t="shared" si="0"/>
        <v>10</v>
      </c>
      <c r="K3" s="204">
        <f t="shared" si="0"/>
        <v>11</v>
      </c>
      <c r="L3" s="204">
        <f t="shared" si="0"/>
        <v>12</v>
      </c>
      <c r="M3" s="204">
        <f t="shared" si="0"/>
        <v>13</v>
      </c>
      <c r="N3" s="204">
        <f t="shared" si="0"/>
        <v>14</v>
      </c>
      <c r="O3" s="203">
        <f t="shared" si="0"/>
        <v>15</v>
      </c>
      <c r="P3" s="204">
        <f t="shared" si="0"/>
        <v>16</v>
      </c>
      <c r="Q3" s="204">
        <f t="shared" si="0"/>
        <v>17</v>
      </c>
      <c r="R3" s="204">
        <f t="shared" si="0"/>
        <v>18</v>
      </c>
      <c r="S3" s="204">
        <f t="shared" si="0"/>
        <v>19</v>
      </c>
      <c r="T3" s="203">
        <f t="shared" si="0"/>
        <v>20</v>
      </c>
      <c r="U3" s="203">
        <f t="shared" si="0"/>
        <v>21</v>
      </c>
      <c r="V3" s="203">
        <f t="shared" si="0"/>
        <v>22</v>
      </c>
      <c r="W3" s="204">
        <f t="shared" si="0"/>
        <v>23</v>
      </c>
      <c r="X3" s="204">
        <f t="shared" si="0"/>
        <v>24</v>
      </c>
      <c r="Y3" s="204">
        <f t="shared" si="0"/>
        <v>25</v>
      </c>
      <c r="Z3" s="204">
        <f t="shared" si="0"/>
        <v>26</v>
      </c>
      <c r="AA3" s="204">
        <f>Z3+1</f>
        <v>27</v>
      </c>
      <c r="AB3" s="204">
        <f t="shared" si="0"/>
        <v>28</v>
      </c>
      <c r="AC3" s="204">
        <f t="shared" si="0"/>
        <v>29</v>
      </c>
      <c r="AD3" s="204">
        <f t="shared" si="0"/>
        <v>30</v>
      </c>
      <c r="AE3" s="203">
        <f>AD3+1</f>
        <v>31</v>
      </c>
      <c r="AF3" s="204">
        <f t="shared" si="0"/>
        <v>32</v>
      </c>
      <c r="AG3" s="204">
        <f t="shared" si="0"/>
        <v>33</v>
      </c>
      <c r="AH3" s="204">
        <f t="shared" si="0"/>
        <v>34</v>
      </c>
      <c r="AI3" s="204">
        <f t="shared" si="0"/>
        <v>35</v>
      </c>
      <c r="AJ3" s="203">
        <f t="shared" si="0"/>
        <v>36</v>
      </c>
      <c r="AK3" s="203">
        <f t="shared" ref="AK3" si="1">AJ3+1</f>
        <v>37</v>
      </c>
      <c r="AL3" s="203">
        <f t="shared" ref="AL3" si="2">AK3+1</f>
        <v>38</v>
      </c>
      <c r="AM3" s="203">
        <f t="shared" ref="AM3" si="3">AL3+1</f>
        <v>39</v>
      </c>
      <c r="AN3" s="203">
        <f t="shared" ref="AN3" si="4">AM3+1</f>
        <v>40</v>
      </c>
      <c r="AO3" s="203">
        <f t="shared" ref="AO3" si="5">AN3+1</f>
        <v>41</v>
      </c>
      <c r="AP3" s="203">
        <f t="shared" ref="AP3" si="6">AO3+1</f>
        <v>42</v>
      </c>
      <c r="AQ3" s="204">
        <f>AP3+1</f>
        <v>43</v>
      </c>
      <c r="AR3" s="204">
        <f t="shared" ref="AR3:AW3" si="7">AQ3+1</f>
        <v>44</v>
      </c>
      <c r="AS3" s="209">
        <f t="shared" si="7"/>
        <v>45</v>
      </c>
      <c r="AT3" s="209">
        <f t="shared" si="7"/>
        <v>46</v>
      </c>
      <c r="AU3" s="203">
        <f t="shared" si="7"/>
        <v>47</v>
      </c>
      <c r="AV3" s="203">
        <f t="shared" si="7"/>
        <v>48</v>
      </c>
      <c r="AW3" s="203">
        <f t="shared" si="7"/>
        <v>49</v>
      </c>
      <c r="AX3" s="203">
        <f t="shared" ref="AX3:BJ3" si="8">AW3+1</f>
        <v>50</v>
      </c>
      <c r="AY3" s="203">
        <f t="shared" si="8"/>
        <v>51</v>
      </c>
      <c r="AZ3" s="203">
        <f t="shared" si="8"/>
        <v>52</v>
      </c>
      <c r="BA3" s="204">
        <f>AZ3+1</f>
        <v>53</v>
      </c>
      <c r="BB3" s="204">
        <f>BA3+1</f>
        <v>54</v>
      </c>
      <c r="BC3" s="203">
        <f>BB3+1</f>
        <v>55</v>
      </c>
      <c r="BD3" s="203">
        <f>BC3+1</f>
        <v>56</v>
      </c>
      <c r="BE3" s="203">
        <f t="shared" si="8"/>
        <v>57</v>
      </c>
      <c r="BF3" s="203">
        <f t="shared" si="8"/>
        <v>58</v>
      </c>
      <c r="BG3" s="203">
        <f t="shared" si="8"/>
        <v>59</v>
      </c>
      <c r="BH3" s="203">
        <f t="shared" si="8"/>
        <v>60</v>
      </c>
      <c r="BI3" s="203">
        <f t="shared" si="8"/>
        <v>61</v>
      </c>
      <c r="BJ3" s="207">
        <f t="shared" si="8"/>
        <v>62</v>
      </c>
      <c r="BK3" s="204">
        <v>57</v>
      </c>
      <c r="BL3" s="204">
        <f t="shared" ref="BL3:BM3" si="9">BK3+1</f>
        <v>58</v>
      </c>
      <c r="BM3" s="204">
        <f t="shared" si="9"/>
        <v>59</v>
      </c>
      <c r="BN3" s="204">
        <f t="shared" ref="BN3" si="10">BM3+1</f>
        <v>60</v>
      </c>
      <c r="BO3" s="204">
        <f t="shared" ref="BO3" si="11">BN3+1</f>
        <v>61</v>
      </c>
      <c r="BP3" s="204">
        <f t="shared" ref="BP3" si="12">BO3+1</f>
        <v>62</v>
      </c>
      <c r="BQ3" s="204">
        <f t="shared" ref="BQ3" si="13">BP3+1</f>
        <v>63</v>
      </c>
      <c r="BR3" s="204">
        <f t="shared" ref="BR3" si="14">BQ3+1</f>
        <v>64</v>
      </c>
      <c r="BS3" s="204">
        <f t="shared" ref="BS3" si="15">BR3+1</f>
        <v>65</v>
      </c>
      <c r="BT3" s="204">
        <f t="shared" ref="BT3" si="16">BS3+1</f>
        <v>66</v>
      </c>
      <c r="BU3" s="204">
        <f t="shared" ref="BU3" si="17">BT3+1</f>
        <v>67</v>
      </c>
      <c r="BV3" s="204">
        <f t="shared" ref="BV3" si="18">BU3+1</f>
        <v>68</v>
      </c>
      <c r="BW3" s="204">
        <f>BV3+1</f>
        <v>69</v>
      </c>
      <c r="BX3" s="204">
        <f>BW3+1</f>
        <v>70</v>
      </c>
      <c r="BY3" s="204">
        <f t="shared" ref="BY3:BZ3" si="19">BX3+1</f>
        <v>71</v>
      </c>
      <c r="BZ3" s="204">
        <f t="shared" si="19"/>
        <v>72</v>
      </c>
      <c r="CA3" s="204">
        <f>BZ3+1</f>
        <v>73</v>
      </c>
      <c r="CB3" s="204">
        <f t="shared" ref="CB3" si="20">CA3+1</f>
        <v>74</v>
      </c>
      <c r="CC3" s="204">
        <f t="shared" ref="CC3" si="21">CB3+1</f>
        <v>75</v>
      </c>
      <c r="CD3" s="204">
        <f t="shared" ref="CD3" si="22">CC3+1</f>
        <v>76</v>
      </c>
      <c r="CE3" s="204">
        <f t="shared" ref="CE3" si="23">CD3+1</f>
        <v>77</v>
      </c>
      <c r="CF3" s="204">
        <f t="shared" ref="CF3" si="24">CE3+1</f>
        <v>78</v>
      </c>
      <c r="CG3" s="204">
        <f t="shared" ref="CG3" si="25">CF3+1</f>
        <v>79</v>
      </c>
      <c r="CH3" s="204">
        <f t="shared" ref="CH3" si="26">CG3+1</f>
        <v>80</v>
      </c>
      <c r="CI3" s="204">
        <f t="shared" ref="CI3" si="27">CH3+1</f>
        <v>81</v>
      </c>
      <c r="CJ3" s="204">
        <f t="shared" ref="CJ3" si="28">CI3+1</f>
        <v>82</v>
      </c>
      <c r="CK3" s="204">
        <f t="shared" ref="CK3" si="29">CJ3+1</f>
        <v>83</v>
      </c>
      <c r="CL3" s="204">
        <f t="shared" ref="CL3" si="30">CK3+1</f>
        <v>84</v>
      </c>
      <c r="CM3" s="204">
        <f t="shared" ref="CM3:CN3" si="31">CL3+1</f>
        <v>85</v>
      </c>
      <c r="CN3" s="204">
        <f t="shared" si="31"/>
        <v>86</v>
      </c>
      <c r="CO3" s="204">
        <f t="shared" ref="CO3:CP3" si="32">CN3+1</f>
        <v>87</v>
      </c>
      <c r="CP3" s="204">
        <f t="shared" si="32"/>
        <v>88</v>
      </c>
      <c r="CQ3" s="204">
        <f t="shared" ref="CQ3" si="33">CP3+1</f>
        <v>89</v>
      </c>
      <c r="CR3" s="204">
        <f t="shared" ref="CR3" si="34">CQ3+1</f>
        <v>90</v>
      </c>
      <c r="CS3" s="204">
        <f t="shared" ref="CS3" si="35">CR3+1</f>
        <v>91</v>
      </c>
      <c r="CT3" s="204">
        <f t="shared" ref="CT3" si="36">CS3+1</f>
        <v>92</v>
      </c>
      <c r="CU3" s="204">
        <f t="shared" ref="CU3" si="37">CT3+1</f>
        <v>93</v>
      </c>
      <c r="CV3" s="204">
        <f t="shared" ref="CV3" si="38">CU3+1</f>
        <v>94</v>
      </c>
      <c r="CW3" s="204">
        <f t="shared" ref="CW3" si="39">CV3+1</f>
        <v>95</v>
      </c>
      <c r="CX3" s="204">
        <f t="shared" ref="CX3" si="40">CW3+1</f>
        <v>96</v>
      </c>
    </row>
    <row r="4" spans="1:102" s="229" customFormat="1" ht="25.5" customHeight="1">
      <c r="A4" s="303">
        <v>1</v>
      </c>
      <c r="B4" s="301"/>
      <c r="C4" s="370" t="s">
        <v>287</v>
      </c>
      <c r="D4" s="211"/>
      <c r="E4" s="212" t="s">
        <v>241</v>
      </c>
      <c r="F4" s="213"/>
      <c r="G4" s="359" t="s">
        <v>39</v>
      </c>
      <c r="H4" s="214" t="s">
        <v>106</v>
      </c>
      <c r="I4" s="306" t="s">
        <v>286</v>
      </c>
      <c r="J4" s="307">
        <f>29788+29291</f>
        <v>59079</v>
      </c>
      <c r="K4" s="307">
        <f>119431-29291</f>
        <v>90140</v>
      </c>
      <c r="L4" s="307">
        <f>801601-29788-119431</f>
        <v>652382</v>
      </c>
      <c r="M4" s="307">
        <v>71371</v>
      </c>
      <c r="N4" s="307">
        <v>38328</v>
      </c>
      <c r="O4" s="217">
        <f t="shared" ref="O4" si="41">SUM(J4:N4)</f>
        <v>911300</v>
      </c>
      <c r="P4" s="307">
        <f>ROUND(SUM(J4:N4),0)</f>
        <v>911300</v>
      </c>
      <c r="Q4" s="307"/>
      <c r="R4" s="307"/>
      <c r="S4" s="307"/>
      <c r="T4" s="217">
        <f t="shared" ref="T4" si="42">SUM(P4:S4)</f>
        <v>911300</v>
      </c>
      <c r="U4" s="217">
        <f t="shared" ref="U4" si="43">ROUND(VLOOKUP($H4,рем_содер,6,0)*P4,0)</f>
        <v>0</v>
      </c>
      <c r="V4" s="217">
        <f t="shared" ref="V4" si="44">ROUND(VLOOKUP($H4,рем_содер,6,0)*Q4,0)</f>
        <v>0</v>
      </c>
      <c r="W4" s="307">
        <f>ROUND(VLOOKUP(H4,рем_содер,7,0)*(P4+Q4+U4+V4),0)*0+6338</f>
        <v>6338</v>
      </c>
      <c r="X4" s="215"/>
      <c r="Y4" s="215"/>
      <c r="Z4" s="307"/>
      <c r="AA4" s="217">
        <f t="shared" ref="AA4" si="45">ROUND(VLOOKUP(H4,рем_содер,8,0)*SUM(P4,U4,X4),0)</f>
        <v>0</v>
      </c>
      <c r="AB4" s="217">
        <f t="shared" ref="AB4" si="46">ROUND(VLOOKUP(H4,рем_содер,8,0)*SUM(Q4,V4,Y4),0)</f>
        <v>0</v>
      </c>
      <c r="AC4" s="217">
        <f t="shared" ref="AC4" si="47">ROUND(VLOOKUP(H4,рем_содер,8,0)*R4,0)</f>
        <v>0</v>
      </c>
      <c r="AD4" s="217">
        <f t="shared" ref="AD4" si="48">ROUND(VLOOKUP(H4,рем_содер,8,0)*SUM(S4,W4,Z4),0)</f>
        <v>0</v>
      </c>
      <c r="AE4" s="217">
        <f t="shared" ref="AE4" si="49">ROUND(SUM(AA4:AD4),0)</f>
        <v>0</v>
      </c>
      <c r="AF4" s="217">
        <f t="shared" ref="AF4" si="50">P4+U4+X4+AA4</f>
        <v>911300</v>
      </c>
      <c r="AG4" s="217">
        <f t="shared" ref="AG4" si="51">Q4+V4+Y4+AB4</f>
        <v>0</v>
      </c>
      <c r="AH4" s="217">
        <f t="shared" ref="AH4" si="52">R4+AC4</f>
        <v>0</v>
      </c>
      <c r="AI4" s="217">
        <f t="shared" ref="AI4" si="53">S4+W4+Z4+AD4</f>
        <v>6338</v>
      </c>
      <c r="AJ4" s="217">
        <f t="shared" ref="AJ4" si="54">SUM(AF4:AI4)</f>
        <v>917638</v>
      </c>
      <c r="AK4" s="218">
        <f t="shared" ref="AK4" si="55">AJ4</f>
        <v>917638</v>
      </c>
      <c r="AL4" s="218">
        <f t="shared" ref="AL4:AL14" si="56">ROUND($AW4*$AK4,0)</f>
        <v>56068</v>
      </c>
      <c r="AM4" s="218">
        <f t="shared" ref="AM4" si="57">ROUND(18%*SUM(AK4,AL4),0)</f>
        <v>175267</v>
      </c>
      <c r="AN4" s="218">
        <f t="shared" ref="AN4:AN15" si="58">ROUND($AX4*($AJ4-$AK4),0)</f>
        <v>0</v>
      </c>
      <c r="AO4" s="218">
        <f t="shared" ref="AO4" si="59">ROUND(18%*(AJ4-AK4+AN4),0)</f>
        <v>0</v>
      </c>
      <c r="AP4" s="219">
        <f t="shared" ref="AP4" si="60">SUM(AJ4,AL4,AM4,AN4,AO4)</f>
        <v>1148973</v>
      </c>
      <c r="AQ4" s="310">
        <v>9</v>
      </c>
      <c r="AR4" s="310">
        <v>9</v>
      </c>
      <c r="AS4" s="220">
        <v>1</v>
      </c>
      <c r="AT4" s="220">
        <v>12</v>
      </c>
      <c r="AU4" s="221">
        <f t="shared" ref="AU4:AU93" si="61">DATE($AW$1,ROUNDDOWN(($AQ4+$AR4)/2,0),1)</f>
        <v>43344</v>
      </c>
      <c r="AV4" s="221">
        <f t="shared" ref="AV4:AV93" si="62">DATE($AX$1,ROUNDDOWN(($AS4+$AT4)/2,0),1)</f>
        <v>43617</v>
      </c>
      <c r="AW4" s="222">
        <f t="shared" ref="AW4" si="63">ROUND(IF(VLOOKUP($H4,рем_содер,3,0)=2,(1+VLOOKUP($E4,инф_р,HLOOKUP(AW$1,инф_р,2,0),0))*(1+VLOOKUP(AW$1,год,2,0)/12*ROUNDDOWN((AQ4+AR4)/2,0))-1-VLOOKUP($E4,инф_р2,HLOOKUP(AW$1,инф_р2,2,0),0),(1+VLOOKUP($E4,инф_с,HLOOKUP(AW$1,инф_с,2,0),0))*(1+VLOOKUP(AW$1,год,3,0)/12*ROUNDDOWN((AQ4+AR4)/2,0))-1-VLOOKUP($E4,инф_с2,HLOOKUP(AW$1,инф_с2,2,0),0)),4)</f>
        <v>6.1100000000000002E-2</v>
      </c>
      <c r="AX4" s="222">
        <f t="shared" ref="AX4" si="64">ROUND(IF(VLOOKUP($H4,рем_содер,3,0)=2,(1+VLOOKUP($E4,инф_р,HLOOKUP(AX$1,инф_р,2,0),0))*(1+VLOOKUP(AX$1,год,2,0)/12*ROUNDDOWN((AS4+AT4)/2,0))-1-VLOOKUP($E4,инф_р2,HLOOKUP(AX$1,инф_р2,2,0),0),(1+VLOOKUP($E4,инф_с,HLOOKUP(AX$1,инф_с,2,0),0))*(1+VLOOKUP(AX$1,год,3,0)/12*ROUNDDOWN((AS4+AT4)/2,0))-1-VLOOKUP($E4,инф_с2,HLOOKUP(AX$1,инф_с2,2,0),0)),4)</f>
        <v>9.64E-2</v>
      </c>
      <c r="AY4" s="219">
        <f t="shared" ref="AY4" si="65">AK4+AL4+AM4</f>
        <v>1148973</v>
      </c>
      <c r="AZ4" s="219">
        <f t="shared" ref="AZ4" si="66">IF(F4="да",AJ4-AK4+AN4+AO4,0)</f>
        <v>0</v>
      </c>
      <c r="BA4" s="309">
        <v>0.56999999999999995</v>
      </c>
      <c r="BB4" s="310">
        <f>2304+84</f>
        <v>2388</v>
      </c>
      <c r="BC4" s="223">
        <f t="shared" ref="BC4" si="67">ROUND(AP4/BA4,0)</f>
        <v>2015742</v>
      </c>
      <c r="BD4" s="224"/>
      <c r="BE4" s="225">
        <f t="shared" ref="BE4" si="68">J4/$AP4</f>
        <v>5.1418962847690937E-2</v>
      </c>
      <c r="BF4" s="225">
        <f t="shared" ref="BF4" si="69">K4/$AP4</f>
        <v>7.8452670341252584E-2</v>
      </c>
      <c r="BG4" s="225">
        <f t="shared" ref="BG4" si="70">L4/$AP4</f>
        <v>0.56779576195437143</v>
      </c>
      <c r="BH4" s="225">
        <f t="shared" ref="BH4" si="71">M4/$AP4</f>
        <v>6.2117212501947391E-2</v>
      </c>
      <c r="BI4" s="225">
        <f t="shared" ref="BI4" si="72">N4/$AP4</f>
        <v>3.3358486230746935E-2</v>
      </c>
      <c r="BJ4" s="226"/>
      <c r="BK4" s="307"/>
      <c r="BL4" s="307"/>
      <c r="BM4" s="307"/>
      <c r="BN4" s="307">
        <f>174.704+221.76</f>
        <v>396.464</v>
      </c>
      <c r="BO4" s="307">
        <v>95.04</v>
      </c>
      <c r="BP4" s="307"/>
      <c r="BQ4" s="307"/>
      <c r="BR4" s="307"/>
      <c r="BS4" s="307"/>
      <c r="BT4" s="307"/>
      <c r="BU4" s="307"/>
      <c r="BV4" s="307"/>
      <c r="BW4" s="307"/>
      <c r="BX4" s="307"/>
      <c r="BY4" s="307"/>
      <c r="BZ4" s="307"/>
      <c r="CA4" s="307"/>
      <c r="CB4" s="307"/>
      <c r="CC4" s="307"/>
      <c r="CD4" s="307"/>
      <c r="CE4" s="307"/>
      <c r="CF4" s="307"/>
      <c r="CG4" s="307"/>
      <c r="CH4" s="307"/>
      <c r="CI4" s="307"/>
      <c r="CJ4" s="307"/>
      <c r="CK4" s="307"/>
      <c r="CL4" s="307"/>
      <c r="CM4" s="307"/>
      <c r="CN4" s="307"/>
      <c r="CO4" s="307"/>
      <c r="CP4" s="307"/>
      <c r="CQ4" s="307"/>
      <c r="CR4" s="307"/>
      <c r="CS4" s="307"/>
      <c r="CT4" s="307"/>
      <c r="CU4" s="307"/>
      <c r="CV4" s="307"/>
      <c r="CW4" s="307"/>
      <c r="CX4" s="307"/>
    </row>
    <row r="5" spans="1:102" s="229" customFormat="1" ht="31.35" customHeight="1">
      <c r="A5" s="304">
        <f>A4+1</f>
        <v>2</v>
      </c>
      <c r="B5" s="302"/>
      <c r="C5" s="371"/>
      <c r="D5" s="230"/>
      <c r="E5" s="231" t="s">
        <v>241</v>
      </c>
      <c r="F5" s="232"/>
      <c r="G5" s="359"/>
      <c r="H5" s="233" t="s">
        <v>106</v>
      </c>
      <c r="I5" s="306"/>
      <c r="J5" s="307"/>
      <c r="K5" s="307"/>
      <c r="L5" s="307"/>
      <c r="M5" s="307"/>
      <c r="N5" s="307"/>
      <c r="O5" s="216">
        <f t="shared" ref="O5:O93" si="73">SUM(J5:N5)</f>
        <v>0</v>
      </c>
      <c r="P5" s="307">
        <f t="shared" ref="P5:P93" si="74">ROUND(SUM(J5:N5),0)</f>
        <v>0</v>
      </c>
      <c r="Q5" s="307"/>
      <c r="R5" s="307"/>
      <c r="S5" s="307"/>
      <c r="T5" s="216">
        <f t="shared" ref="T5:T93" si="75">SUM(P5:S5)</f>
        <v>0</v>
      </c>
      <c r="U5" s="217">
        <f t="shared" ref="U5:U93" si="76">ROUND(VLOOKUP($H5,рем_содер,6,0)*P5,0)</f>
        <v>0</v>
      </c>
      <c r="V5" s="217">
        <f t="shared" ref="V5:V93" si="77">ROUND(VLOOKUP($H5,рем_содер,6,0)*Q5,0)</f>
        <v>0</v>
      </c>
      <c r="W5" s="307">
        <f>ROUND(VLOOKUP(H5,рем_содер,7,0)*(P5+Q5+U5+V5),0)</f>
        <v>0</v>
      </c>
      <c r="X5" s="215"/>
      <c r="Y5" s="215"/>
      <c r="Z5" s="307"/>
      <c r="AA5" s="217">
        <f t="shared" ref="AA5" si="78">ROUND(VLOOKUP(H5,рем_содер,8,0)*SUM(P5,U5,X5),0)</f>
        <v>0</v>
      </c>
      <c r="AB5" s="217">
        <f t="shared" ref="AB5" si="79">ROUND(VLOOKUP(H5,рем_содер,8,0)*SUM(Q5,V5,Y5),0)</f>
        <v>0</v>
      </c>
      <c r="AC5" s="217">
        <f t="shared" ref="AC5" si="80">ROUND(VLOOKUP(H5,рем_содер,8,0)*R5,0)</f>
        <v>0</v>
      </c>
      <c r="AD5" s="217">
        <f t="shared" ref="AD5" si="81">ROUND(VLOOKUP(H5,рем_содер,8,0)*SUM(S5,W5,Z5),0)</f>
        <v>0</v>
      </c>
      <c r="AE5" s="217">
        <f t="shared" ref="AE5:AE93" si="82">ROUND(SUM(AA5:AD5),0)</f>
        <v>0</v>
      </c>
      <c r="AF5" s="217">
        <f t="shared" ref="AF5:AF35" si="83">P5+U5+X5+AA5</f>
        <v>0</v>
      </c>
      <c r="AG5" s="217">
        <f t="shared" ref="AG5:AG35" si="84">Q5+V5+Y5+AB5</f>
        <v>0</v>
      </c>
      <c r="AH5" s="217">
        <f t="shared" ref="AH5:AH35" si="85">R5+AC5</f>
        <v>0</v>
      </c>
      <c r="AI5" s="217">
        <f t="shared" ref="AI5:AI35" si="86">S5+W5+Z5+AD5</f>
        <v>0</v>
      </c>
      <c r="AJ5" s="217">
        <f t="shared" ref="AJ5" si="87">SUM(AF5:AI5)</f>
        <v>0</v>
      </c>
      <c r="AK5" s="218">
        <f t="shared" ref="AK5:AK16" si="88">AJ5</f>
        <v>0</v>
      </c>
      <c r="AL5" s="218">
        <f t="shared" si="56"/>
        <v>0</v>
      </c>
      <c r="AM5" s="218">
        <f t="shared" ref="AM5:AM17" si="89">ROUND(18%*SUM(AK5,AL5),0)</f>
        <v>0</v>
      </c>
      <c r="AN5" s="218">
        <f t="shared" si="58"/>
        <v>0</v>
      </c>
      <c r="AO5" s="218">
        <f t="shared" ref="AO5:AO15" si="90">ROUND(18%*(AJ5-AK5+AN5),0)</f>
        <v>0</v>
      </c>
      <c r="AP5" s="219">
        <f t="shared" ref="AP5:AP14" si="91">SUM(AJ5,AL5,AM5,AN5,AO5)</f>
        <v>0</v>
      </c>
      <c r="AQ5" s="308">
        <v>9</v>
      </c>
      <c r="AR5" s="308">
        <v>9</v>
      </c>
      <c r="AS5" s="220">
        <v>1</v>
      </c>
      <c r="AT5" s="220">
        <v>12</v>
      </c>
      <c r="AU5" s="221">
        <f t="shared" si="61"/>
        <v>43344</v>
      </c>
      <c r="AV5" s="221">
        <f t="shared" si="62"/>
        <v>43617</v>
      </c>
      <c r="AW5" s="222">
        <f t="shared" ref="AW5:AW93" si="92">ROUND(IF(VLOOKUP($H5,рем_содер,3,0)=2,(1+VLOOKUP($E5,инф_р,HLOOKUP(AW$1,инф_р,2,0),0))*(1+VLOOKUP(AW$1,год,2,0)/12*ROUNDDOWN((AQ5+AR5)/2,0))-1-VLOOKUP($E5,инф_р2,HLOOKUP(AW$1,инф_р2,2,0),0),(1+VLOOKUP($E5,инф_с,HLOOKUP(AW$1,инф_с,2,0),0))*(1+VLOOKUP(AW$1,год,3,0)/12*ROUNDDOWN((AQ5+AR5)/2,0))-1-VLOOKUP($E5,инф_с2,HLOOKUP(AW$1,инф_с2,2,0),0)),4)</f>
        <v>6.1100000000000002E-2</v>
      </c>
      <c r="AX5" s="222">
        <f t="shared" ref="AX5:AX93" si="93">ROUND(IF(VLOOKUP($H5,рем_содер,3,0)=2,(1+VLOOKUP($E5,инф_р,HLOOKUP(AX$1,инф_р,2,0),0))*(1+VLOOKUP(AX$1,год,2,0)/12*ROUNDDOWN((AS5+AT5)/2,0))-1-VLOOKUP($E5,инф_р2,HLOOKUP(AX$1,инф_р2,2,0),0),(1+VLOOKUP($E5,инф_с,HLOOKUP(AX$1,инф_с,2,0),0))*(1+VLOOKUP(AX$1,год,3,0)/12*ROUNDDOWN((AS5+AT5)/2,0))-1-VLOOKUP($E5,инф_с2,HLOOKUP(AX$1,инф_с2,2,0),0)),4)</f>
        <v>9.64E-2</v>
      </c>
      <c r="AY5" s="219">
        <f t="shared" ref="AY5:AY14" si="94">AK5+AL5+AM5</f>
        <v>0</v>
      </c>
      <c r="AZ5" s="219">
        <f t="shared" ref="AZ5:AZ14" si="95">IF(F5="да",AJ5-AK5+AN5+AO5,0)</f>
        <v>0</v>
      </c>
      <c r="BA5" s="309"/>
      <c r="BB5" s="310"/>
      <c r="BC5" s="223" t="e">
        <f t="shared" ref="BC5:BC35" si="96">ROUND(AP5/BA5,0)</f>
        <v>#DIV/0!</v>
      </c>
      <c r="BD5" s="224"/>
      <c r="BE5" s="225" t="e">
        <f t="shared" ref="BE5:BE23" si="97">J5/$AP5</f>
        <v>#DIV/0!</v>
      </c>
      <c r="BF5" s="225" t="e">
        <f t="shared" ref="BF5:BF23" si="98">K5/$AP5</f>
        <v>#DIV/0!</v>
      </c>
      <c r="BG5" s="225" t="e">
        <f t="shared" ref="BG5:BG23" si="99">L5/$AP5</f>
        <v>#DIV/0!</v>
      </c>
      <c r="BH5" s="225" t="e">
        <f t="shared" ref="BH5:BH23" si="100">M5/$AP5</f>
        <v>#DIV/0!</v>
      </c>
      <c r="BI5" s="225" t="e">
        <f t="shared" ref="BI5:BI23" si="101">N5/$AP5</f>
        <v>#DIV/0!</v>
      </c>
      <c r="BJ5" s="226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</row>
    <row r="6" spans="1:102" s="229" customFormat="1" ht="25.5" customHeight="1">
      <c r="A6" s="304">
        <f t="shared" ref="A6:A69" si="102">A5+1</f>
        <v>3</v>
      </c>
      <c r="B6" s="302"/>
      <c r="C6" s="371"/>
      <c r="D6" s="230"/>
      <c r="E6" s="231" t="s">
        <v>241</v>
      </c>
      <c r="F6" s="232"/>
      <c r="G6" s="359"/>
      <c r="H6" s="233" t="s">
        <v>106</v>
      </c>
      <c r="I6" s="306"/>
      <c r="J6" s="307"/>
      <c r="K6" s="307"/>
      <c r="L6" s="307"/>
      <c r="M6" s="307"/>
      <c r="N6" s="307"/>
      <c r="O6" s="216">
        <f t="shared" ref="O6:O33" si="103">SUM(J6:N6)</f>
        <v>0</v>
      </c>
      <c r="P6" s="307">
        <f t="shared" si="74"/>
        <v>0</v>
      </c>
      <c r="Q6" s="307"/>
      <c r="R6" s="307"/>
      <c r="S6" s="307"/>
      <c r="T6" s="216">
        <f t="shared" ref="T6:T33" si="104">SUM(P6:S6)</f>
        <v>0</v>
      </c>
      <c r="U6" s="217">
        <f t="shared" ref="U6:U33" si="105">ROUND(VLOOKUP($H6,рем_содер,6,0)*P6,0)</f>
        <v>0</v>
      </c>
      <c r="V6" s="217">
        <f t="shared" ref="V6:V33" si="106">ROUND(VLOOKUP($H6,рем_содер,6,0)*Q6,0)</f>
        <v>0</v>
      </c>
      <c r="W6" s="307">
        <f>ROUND(VLOOKUP(H6,рем_содер,7,0)*(P6+Q6+U6+V6),0)</f>
        <v>0</v>
      </c>
      <c r="X6" s="215"/>
      <c r="Y6" s="215"/>
      <c r="Z6" s="307"/>
      <c r="AA6" s="217">
        <f t="shared" ref="AA6:AA33" si="107">ROUND(VLOOKUP(H6,рем_содер,8,0)*SUM(P6,U6,X6),0)</f>
        <v>0</v>
      </c>
      <c r="AB6" s="217">
        <f t="shared" ref="AB6:AB33" si="108">ROUND(VLOOKUP(H6,рем_содер,8,0)*SUM(Q6,V6,Y6),0)</f>
        <v>0</v>
      </c>
      <c r="AC6" s="217">
        <f t="shared" ref="AC6:AC33" si="109">ROUND(VLOOKUP(H6,рем_содер,8,0)*R6,0)</f>
        <v>0</v>
      </c>
      <c r="AD6" s="217">
        <f t="shared" ref="AD6:AD33" si="110">ROUND(VLOOKUP(H6,рем_содер,8,0)*SUM(S6,W6,Z6),0)</f>
        <v>0</v>
      </c>
      <c r="AE6" s="217">
        <f t="shared" ref="AE6:AE33" si="111">ROUND(SUM(AA6:AD6),0)</f>
        <v>0</v>
      </c>
      <c r="AF6" s="217">
        <f t="shared" ref="AF6:AF33" si="112">P6+U6+X6+AA6</f>
        <v>0</v>
      </c>
      <c r="AG6" s="217">
        <f t="shared" ref="AG6:AG33" si="113">Q6+V6+Y6+AB6</f>
        <v>0</v>
      </c>
      <c r="AH6" s="217">
        <f t="shared" ref="AH6:AH33" si="114">R6+AC6</f>
        <v>0</v>
      </c>
      <c r="AI6" s="217">
        <f t="shared" ref="AI6:AI33" si="115">S6+W6+Z6+AD6</f>
        <v>0</v>
      </c>
      <c r="AJ6" s="217">
        <f t="shared" ref="AJ6:AJ8" si="116">SUM(AF6:AI6)</f>
        <v>0</v>
      </c>
      <c r="AK6" s="218">
        <f t="shared" si="88"/>
        <v>0</v>
      </c>
      <c r="AL6" s="218">
        <f t="shared" si="56"/>
        <v>0</v>
      </c>
      <c r="AM6" s="218">
        <f t="shared" si="89"/>
        <v>0</v>
      </c>
      <c r="AN6" s="218">
        <f t="shared" si="58"/>
        <v>0</v>
      </c>
      <c r="AO6" s="218">
        <f t="shared" si="90"/>
        <v>0</v>
      </c>
      <c r="AP6" s="219">
        <f t="shared" si="91"/>
        <v>0</v>
      </c>
      <c r="AQ6" s="308">
        <v>9</v>
      </c>
      <c r="AR6" s="308">
        <v>9</v>
      </c>
      <c r="AS6" s="220">
        <v>1</v>
      </c>
      <c r="AT6" s="220">
        <v>12</v>
      </c>
      <c r="AU6" s="221">
        <f t="shared" si="61"/>
        <v>43344</v>
      </c>
      <c r="AV6" s="221">
        <f t="shared" si="62"/>
        <v>43617</v>
      </c>
      <c r="AW6" s="222">
        <f t="shared" ref="AW6:AW33" si="117">ROUND(IF(VLOOKUP($H6,рем_содер,3,0)=2,(1+VLOOKUP($E6,инф_р,HLOOKUP(AW$1,инф_р,2,0),0))*(1+VLOOKUP(AW$1,год,2,0)/12*ROUNDDOWN((AQ6+AR6)/2,0))-1-VLOOKUP($E6,инф_р2,HLOOKUP(AW$1,инф_р2,2,0),0),(1+VLOOKUP($E6,инф_с,HLOOKUP(AW$1,инф_с,2,0),0))*(1+VLOOKUP(AW$1,год,3,0)/12*ROUNDDOWN((AQ6+AR6)/2,0))-1-VLOOKUP($E6,инф_с2,HLOOKUP(AW$1,инф_с2,2,0),0)),4)</f>
        <v>6.1100000000000002E-2</v>
      </c>
      <c r="AX6" s="222">
        <f t="shared" ref="AX6:AX33" si="118">ROUND(IF(VLOOKUP($H6,рем_содер,3,0)=2,(1+VLOOKUP($E6,инф_р,HLOOKUP(AX$1,инф_р,2,0),0))*(1+VLOOKUP(AX$1,год,2,0)/12*ROUNDDOWN((AS6+AT6)/2,0))-1-VLOOKUP($E6,инф_р2,HLOOKUP(AX$1,инф_р2,2,0),0),(1+VLOOKUP($E6,инф_с,HLOOKUP(AX$1,инф_с,2,0),0))*(1+VLOOKUP(AX$1,год,3,0)/12*ROUNDDOWN((AS6+AT6)/2,0))-1-VLOOKUP($E6,инф_с2,HLOOKUP(AX$1,инф_с2,2,0),0)),4)</f>
        <v>9.64E-2</v>
      </c>
      <c r="AY6" s="219">
        <f t="shared" si="94"/>
        <v>0</v>
      </c>
      <c r="AZ6" s="219">
        <f t="shared" si="95"/>
        <v>0</v>
      </c>
      <c r="BA6" s="309"/>
      <c r="BB6" s="310"/>
      <c r="BC6" s="223" t="e">
        <f t="shared" ref="BC6:BC33" si="119">ROUND(AP6/BA6,0)</f>
        <v>#DIV/0!</v>
      </c>
      <c r="BD6" s="224"/>
      <c r="BE6" s="225" t="e">
        <f t="shared" si="97"/>
        <v>#DIV/0!</v>
      </c>
      <c r="BF6" s="225" t="e">
        <f t="shared" si="98"/>
        <v>#DIV/0!</v>
      </c>
      <c r="BG6" s="225" t="e">
        <f t="shared" si="99"/>
        <v>#DIV/0!</v>
      </c>
      <c r="BH6" s="225" t="e">
        <f t="shared" si="100"/>
        <v>#DIV/0!</v>
      </c>
      <c r="BI6" s="225" t="e">
        <f t="shared" si="101"/>
        <v>#DIV/0!</v>
      </c>
      <c r="BJ6" s="226"/>
      <c r="BK6" s="307"/>
      <c r="BL6" s="307"/>
      <c r="BM6" s="307"/>
      <c r="BN6" s="307"/>
      <c r="BO6" s="307"/>
      <c r="BP6" s="307"/>
      <c r="BQ6" s="307"/>
      <c r="BR6" s="307"/>
      <c r="BS6" s="307"/>
      <c r="BT6" s="307"/>
      <c r="BU6" s="307"/>
      <c r="BV6" s="307"/>
      <c r="BW6" s="307"/>
      <c r="BX6" s="307"/>
      <c r="BY6" s="307"/>
      <c r="BZ6" s="307"/>
      <c r="CA6" s="307"/>
      <c r="CB6" s="307"/>
      <c r="CC6" s="307"/>
      <c r="CD6" s="307"/>
      <c r="CE6" s="307"/>
      <c r="CF6" s="307"/>
      <c r="CG6" s="307"/>
      <c r="CH6" s="307"/>
      <c r="CI6" s="307"/>
      <c r="CJ6" s="307"/>
      <c r="CK6" s="307"/>
      <c r="CL6" s="307"/>
      <c r="CM6" s="307"/>
      <c r="CN6" s="307"/>
      <c r="CO6" s="307"/>
      <c r="CP6" s="307"/>
      <c r="CQ6" s="307"/>
      <c r="CR6" s="307"/>
      <c r="CS6" s="307"/>
      <c r="CT6" s="307"/>
      <c r="CU6" s="307"/>
      <c r="CV6" s="307"/>
      <c r="CW6" s="307"/>
      <c r="CX6" s="307"/>
    </row>
    <row r="7" spans="1:102" s="229" customFormat="1" ht="25.5" customHeight="1">
      <c r="A7" s="304">
        <f t="shared" si="102"/>
        <v>4</v>
      </c>
      <c r="B7" s="302"/>
      <c r="C7" s="371"/>
      <c r="D7" s="230"/>
      <c r="E7" s="231" t="s">
        <v>241</v>
      </c>
      <c r="F7" s="232"/>
      <c r="G7" s="359"/>
      <c r="H7" s="233" t="s">
        <v>106</v>
      </c>
      <c r="I7" s="306"/>
      <c r="J7" s="307"/>
      <c r="K7" s="307"/>
      <c r="L7" s="307"/>
      <c r="M7" s="307"/>
      <c r="N7" s="307"/>
      <c r="O7" s="216">
        <f t="shared" si="103"/>
        <v>0</v>
      </c>
      <c r="P7" s="307">
        <f t="shared" si="74"/>
        <v>0</v>
      </c>
      <c r="Q7" s="307"/>
      <c r="R7" s="307"/>
      <c r="S7" s="307"/>
      <c r="T7" s="216">
        <f t="shared" si="104"/>
        <v>0</v>
      </c>
      <c r="U7" s="217">
        <f t="shared" si="105"/>
        <v>0</v>
      </c>
      <c r="V7" s="217">
        <f t="shared" si="106"/>
        <v>0</v>
      </c>
      <c r="W7" s="307">
        <f>ROUND(VLOOKUP(H7,рем_содер,7,0)*(P7+Q7+U7+V7),0)</f>
        <v>0</v>
      </c>
      <c r="X7" s="215"/>
      <c r="Y7" s="215"/>
      <c r="Z7" s="307"/>
      <c r="AA7" s="217">
        <f t="shared" si="107"/>
        <v>0</v>
      </c>
      <c r="AB7" s="217">
        <f t="shared" si="108"/>
        <v>0</v>
      </c>
      <c r="AC7" s="217">
        <f t="shared" si="109"/>
        <v>0</v>
      </c>
      <c r="AD7" s="217">
        <f t="shared" si="110"/>
        <v>0</v>
      </c>
      <c r="AE7" s="217">
        <f t="shared" si="111"/>
        <v>0</v>
      </c>
      <c r="AF7" s="217">
        <f t="shared" si="112"/>
        <v>0</v>
      </c>
      <c r="AG7" s="217">
        <f t="shared" si="113"/>
        <v>0</v>
      </c>
      <c r="AH7" s="217">
        <f t="shared" si="114"/>
        <v>0</v>
      </c>
      <c r="AI7" s="217">
        <f t="shared" si="115"/>
        <v>0</v>
      </c>
      <c r="AJ7" s="217">
        <f t="shared" si="116"/>
        <v>0</v>
      </c>
      <c r="AK7" s="218">
        <f t="shared" si="88"/>
        <v>0</v>
      </c>
      <c r="AL7" s="218">
        <f t="shared" si="56"/>
        <v>0</v>
      </c>
      <c r="AM7" s="218">
        <f t="shared" si="89"/>
        <v>0</v>
      </c>
      <c r="AN7" s="218">
        <f t="shared" si="58"/>
        <v>0</v>
      </c>
      <c r="AO7" s="218">
        <f t="shared" si="90"/>
        <v>0</v>
      </c>
      <c r="AP7" s="219">
        <f t="shared" si="91"/>
        <v>0</v>
      </c>
      <c r="AQ7" s="308">
        <v>9</v>
      </c>
      <c r="AR7" s="308">
        <v>9</v>
      </c>
      <c r="AS7" s="220">
        <v>1</v>
      </c>
      <c r="AT7" s="220">
        <v>12</v>
      </c>
      <c r="AU7" s="221">
        <f t="shared" si="61"/>
        <v>43344</v>
      </c>
      <c r="AV7" s="221">
        <f t="shared" si="62"/>
        <v>43617</v>
      </c>
      <c r="AW7" s="222">
        <f t="shared" si="117"/>
        <v>6.1100000000000002E-2</v>
      </c>
      <c r="AX7" s="222">
        <f t="shared" si="118"/>
        <v>9.64E-2</v>
      </c>
      <c r="AY7" s="219">
        <f t="shared" si="94"/>
        <v>0</v>
      </c>
      <c r="AZ7" s="219">
        <f t="shared" si="95"/>
        <v>0</v>
      </c>
      <c r="BA7" s="309"/>
      <c r="BB7" s="310"/>
      <c r="BC7" s="223" t="e">
        <f t="shared" si="119"/>
        <v>#DIV/0!</v>
      </c>
      <c r="BD7" s="224"/>
      <c r="BE7" s="225" t="e">
        <f t="shared" si="97"/>
        <v>#DIV/0!</v>
      </c>
      <c r="BF7" s="225" t="e">
        <f t="shared" si="98"/>
        <v>#DIV/0!</v>
      </c>
      <c r="BG7" s="225" t="e">
        <f t="shared" si="99"/>
        <v>#DIV/0!</v>
      </c>
      <c r="BH7" s="225" t="e">
        <f t="shared" si="100"/>
        <v>#DIV/0!</v>
      </c>
      <c r="BI7" s="225" t="e">
        <f t="shared" si="101"/>
        <v>#DIV/0!</v>
      </c>
      <c r="BJ7" s="226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</row>
    <row r="8" spans="1:102" s="229" customFormat="1" ht="25.5" customHeight="1">
      <c r="A8" s="304">
        <f t="shared" si="102"/>
        <v>5</v>
      </c>
      <c r="B8" s="302"/>
      <c r="C8" s="371"/>
      <c r="D8" s="230"/>
      <c r="E8" s="231" t="s">
        <v>241</v>
      </c>
      <c r="F8" s="232"/>
      <c r="G8" s="359"/>
      <c r="H8" s="233" t="s">
        <v>106</v>
      </c>
      <c r="I8" s="306"/>
      <c r="J8" s="307"/>
      <c r="K8" s="307"/>
      <c r="L8" s="307"/>
      <c r="M8" s="307"/>
      <c r="N8" s="307"/>
      <c r="O8" s="216">
        <f t="shared" si="103"/>
        <v>0</v>
      </c>
      <c r="P8" s="307">
        <f t="shared" si="74"/>
        <v>0</v>
      </c>
      <c r="Q8" s="307"/>
      <c r="R8" s="307"/>
      <c r="S8" s="307"/>
      <c r="T8" s="216">
        <f t="shared" si="104"/>
        <v>0</v>
      </c>
      <c r="U8" s="217">
        <f t="shared" si="105"/>
        <v>0</v>
      </c>
      <c r="V8" s="217">
        <f t="shared" si="106"/>
        <v>0</v>
      </c>
      <c r="W8" s="307">
        <f>ROUND(VLOOKUP(H8,рем_содер,7,0)*(P8+Q8+U8+V8),0)</f>
        <v>0</v>
      </c>
      <c r="X8" s="215"/>
      <c r="Y8" s="215"/>
      <c r="Z8" s="307"/>
      <c r="AA8" s="217">
        <f t="shared" si="107"/>
        <v>0</v>
      </c>
      <c r="AB8" s="217">
        <f t="shared" si="108"/>
        <v>0</v>
      </c>
      <c r="AC8" s="217">
        <f t="shared" si="109"/>
        <v>0</v>
      </c>
      <c r="AD8" s="217">
        <f t="shared" si="110"/>
        <v>0</v>
      </c>
      <c r="AE8" s="217">
        <f t="shared" si="111"/>
        <v>0</v>
      </c>
      <c r="AF8" s="217">
        <f t="shared" si="112"/>
        <v>0</v>
      </c>
      <c r="AG8" s="217">
        <f t="shared" si="113"/>
        <v>0</v>
      </c>
      <c r="AH8" s="217">
        <f t="shared" si="114"/>
        <v>0</v>
      </c>
      <c r="AI8" s="217">
        <f t="shared" si="115"/>
        <v>0</v>
      </c>
      <c r="AJ8" s="217">
        <f t="shared" si="116"/>
        <v>0</v>
      </c>
      <c r="AK8" s="218">
        <f t="shared" si="88"/>
        <v>0</v>
      </c>
      <c r="AL8" s="218">
        <f t="shared" si="56"/>
        <v>0</v>
      </c>
      <c r="AM8" s="218">
        <f t="shared" si="89"/>
        <v>0</v>
      </c>
      <c r="AN8" s="218">
        <f t="shared" si="58"/>
        <v>0</v>
      </c>
      <c r="AO8" s="218">
        <f t="shared" si="90"/>
        <v>0</v>
      </c>
      <c r="AP8" s="219">
        <f t="shared" si="91"/>
        <v>0</v>
      </c>
      <c r="AQ8" s="308">
        <v>9</v>
      </c>
      <c r="AR8" s="308">
        <v>9</v>
      </c>
      <c r="AS8" s="220">
        <v>1</v>
      </c>
      <c r="AT8" s="220">
        <v>12</v>
      </c>
      <c r="AU8" s="221">
        <f t="shared" si="61"/>
        <v>43344</v>
      </c>
      <c r="AV8" s="221">
        <f t="shared" si="62"/>
        <v>43617</v>
      </c>
      <c r="AW8" s="222">
        <f t="shared" si="117"/>
        <v>6.1100000000000002E-2</v>
      </c>
      <c r="AX8" s="222">
        <f t="shared" si="118"/>
        <v>9.64E-2</v>
      </c>
      <c r="AY8" s="219">
        <f t="shared" si="94"/>
        <v>0</v>
      </c>
      <c r="AZ8" s="219">
        <f t="shared" si="95"/>
        <v>0</v>
      </c>
      <c r="BA8" s="309"/>
      <c r="BB8" s="310"/>
      <c r="BC8" s="223" t="e">
        <f t="shared" si="119"/>
        <v>#DIV/0!</v>
      </c>
      <c r="BD8" s="224"/>
      <c r="BE8" s="225" t="e">
        <f t="shared" si="97"/>
        <v>#DIV/0!</v>
      </c>
      <c r="BF8" s="225" t="e">
        <f t="shared" si="98"/>
        <v>#DIV/0!</v>
      </c>
      <c r="BG8" s="225" t="e">
        <f t="shared" si="99"/>
        <v>#DIV/0!</v>
      </c>
      <c r="BH8" s="225" t="e">
        <f t="shared" si="100"/>
        <v>#DIV/0!</v>
      </c>
      <c r="BI8" s="225" t="e">
        <f t="shared" si="101"/>
        <v>#DIV/0!</v>
      </c>
      <c r="BJ8" s="226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</row>
    <row r="9" spans="1:102" s="229" customFormat="1" ht="25.5" customHeight="1">
      <c r="A9" s="304">
        <f t="shared" si="102"/>
        <v>6</v>
      </c>
      <c r="B9" s="302"/>
      <c r="C9" s="371"/>
      <c r="D9" s="230"/>
      <c r="E9" s="231" t="s">
        <v>241</v>
      </c>
      <c r="F9" s="232"/>
      <c r="G9" s="359"/>
      <c r="H9" s="233" t="s">
        <v>106</v>
      </c>
      <c r="I9" s="306"/>
      <c r="J9" s="307"/>
      <c r="K9" s="307"/>
      <c r="L9" s="307"/>
      <c r="M9" s="307"/>
      <c r="N9" s="307"/>
      <c r="O9" s="216">
        <f t="shared" si="103"/>
        <v>0</v>
      </c>
      <c r="P9" s="307">
        <f t="shared" si="74"/>
        <v>0</v>
      </c>
      <c r="Q9" s="307"/>
      <c r="R9" s="307"/>
      <c r="S9" s="307"/>
      <c r="T9" s="216">
        <f t="shared" si="104"/>
        <v>0</v>
      </c>
      <c r="U9" s="217">
        <f t="shared" si="105"/>
        <v>0</v>
      </c>
      <c r="V9" s="217">
        <f t="shared" si="106"/>
        <v>0</v>
      </c>
      <c r="W9" s="307">
        <f>ROUND(VLOOKUP(H9,рем_содер,7,0)*(P9+Q9+U9+V9),0)</f>
        <v>0</v>
      </c>
      <c r="X9" s="215"/>
      <c r="Y9" s="215"/>
      <c r="Z9" s="307"/>
      <c r="AA9" s="217">
        <f t="shared" si="107"/>
        <v>0</v>
      </c>
      <c r="AB9" s="217">
        <f t="shared" si="108"/>
        <v>0</v>
      </c>
      <c r="AC9" s="217">
        <f t="shared" si="109"/>
        <v>0</v>
      </c>
      <c r="AD9" s="217">
        <f t="shared" si="110"/>
        <v>0</v>
      </c>
      <c r="AE9" s="217">
        <f t="shared" si="111"/>
        <v>0</v>
      </c>
      <c r="AF9" s="217">
        <f t="shared" si="112"/>
        <v>0</v>
      </c>
      <c r="AG9" s="217">
        <f t="shared" si="113"/>
        <v>0</v>
      </c>
      <c r="AH9" s="217">
        <f t="shared" si="114"/>
        <v>0</v>
      </c>
      <c r="AI9" s="217">
        <f t="shared" si="115"/>
        <v>0</v>
      </c>
      <c r="AJ9" s="217">
        <f t="shared" ref="AJ9:AJ17" si="120">SUM(AF9:AI9)</f>
        <v>0</v>
      </c>
      <c r="AK9" s="218">
        <f t="shared" si="88"/>
        <v>0</v>
      </c>
      <c r="AL9" s="218">
        <f t="shared" si="56"/>
        <v>0</v>
      </c>
      <c r="AM9" s="218">
        <f t="shared" si="89"/>
        <v>0</v>
      </c>
      <c r="AN9" s="218">
        <f t="shared" si="58"/>
        <v>0</v>
      </c>
      <c r="AO9" s="218">
        <f t="shared" si="90"/>
        <v>0</v>
      </c>
      <c r="AP9" s="219">
        <f t="shared" si="91"/>
        <v>0</v>
      </c>
      <c r="AQ9" s="308">
        <v>6</v>
      </c>
      <c r="AR9" s="308">
        <v>6</v>
      </c>
      <c r="AS9" s="220">
        <v>1</v>
      </c>
      <c r="AT9" s="220">
        <v>12</v>
      </c>
      <c r="AU9" s="221">
        <f t="shared" si="61"/>
        <v>43252</v>
      </c>
      <c r="AV9" s="221">
        <f t="shared" si="62"/>
        <v>43617</v>
      </c>
      <c r="AW9" s="222">
        <f t="shared" si="117"/>
        <v>4.9299999999999997E-2</v>
      </c>
      <c r="AX9" s="222">
        <f t="shared" si="118"/>
        <v>9.64E-2</v>
      </c>
      <c r="AY9" s="219">
        <f t="shared" si="94"/>
        <v>0</v>
      </c>
      <c r="AZ9" s="219">
        <f t="shared" si="95"/>
        <v>0</v>
      </c>
      <c r="BA9" s="309"/>
      <c r="BB9" s="310"/>
      <c r="BC9" s="223" t="e">
        <f t="shared" si="119"/>
        <v>#DIV/0!</v>
      </c>
      <c r="BD9" s="224"/>
      <c r="BE9" s="225" t="e">
        <f t="shared" si="97"/>
        <v>#DIV/0!</v>
      </c>
      <c r="BF9" s="225" t="e">
        <f t="shared" si="98"/>
        <v>#DIV/0!</v>
      </c>
      <c r="BG9" s="225" t="e">
        <f t="shared" si="99"/>
        <v>#DIV/0!</v>
      </c>
      <c r="BH9" s="225" t="e">
        <f t="shared" si="100"/>
        <v>#DIV/0!</v>
      </c>
      <c r="BI9" s="225" t="e">
        <f t="shared" si="101"/>
        <v>#DIV/0!</v>
      </c>
      <c r="BJ9" s="226"/>
      <c r="BK9" s="307"/>
      <c r="BL9" s="307"/>
      <c r="BM9" s="307"/>
      <c r="BN9" s="307"/>
      <c r="BO9" s="307"/>
      <c r="BP9" s="307"/>
      <c r="BQ9" s="307"/>
      <c r="BR9" s="307"/>
      <c r="BS9" s="307"/>
      <c r="BT9" s="307"/>
      <c r="BU9" s="307"/>
      <c r="BV9" s="307"/>
      <c r="BW9" s="307"/>
      <c r="BX9" s="307"/>
      <c r="BY9" s="307"/>
      <c r="BZ9" s="307"/>
      <c r="CA9" s="307"/>
      <c r="CB9" s="307"/>
      <c r="CC9" s="307"/>
      <c r="CD9" s="307"/>
      <c r="CE9" s="307"/>
      <c r="CF9" s="307"/>
      <c r="CG9" s="307"/>
      <c r="CH9" s="307"/>
      <c r="CI9" s="307"/>
      <c r="CJ9" s="307"/>
      <c r="CK9" s="307"/>
      <c r="CL9" s="307"/>
      <c r="CM9" s="307"/>
      <c r="CN9" s="307"/>
      <c r="CO9" s="307"/>
      <c r="CP9" s="307"/>
      <c r="CQ9" s="307"/>
      <c r="CR9" s="307"/>
      <c r="CS9" s="307"/>
      <c r="CT9" s="307"/>
      <c r="CU9" s="307"/>
      <c r="CV9" s="307"/>
      <c r="CW9" s="307"/>
      <c r="CX9" s="307"/>
    </row>
    <row r="10" spans="1:102" s="229" customFormat="1" ht="25.5" customHeight="1">
      <c r="A10" s="304">
        <f t="shared" si="102"/>
        <v>7</v>
      </c>
      <c r="B10" s="302"/>
      <c r="C10" s="371"/>
      <c r="D10" s="230"/>
      <c r="E10" s="231" t="s">
        <v>241</v>
      </c>
      <c r="F10" s="232"/>
      <c r="G10" s="359"/>
      <c r="H10" s="233" t="s">
        <v>106</v>
      </c>
      <c r="I10" s="306"/>
      <c r="J10" s="307"/>
      <c r="K10" s="307"/>
      <c r="L10" s="307"/>
      <c r="M10" s="307"/>
      <c r="N10" s="307"/>
      <c r="O10" s="216">
        <f t="shared" si="103"/>
        <v>0</v>
      </c>
      <c r="P10" s="307">
        <f t="shared" si="74"/>
        <v>0</v>
      </c>
      <c r="Q10" s="307"/>
      <c r="R10" s="307"/>
      <c r="S10" s="307"/>
      <c r="T10" s="216">
        <f t="shared" si="104"/>
        <v>0</v>
      </c>
      <c r="U10" s="217">
        <f t="shared" si="105"/>
        <v>0</v>
      </c>
      <c r="V10" s="217">
        <f t="shared" si="106"/>
        <v>0</v>
      </c>
      <c r="W10" s="307">
        <f t="shared" ref="W10:W33" si="121">ROUND(VLOOKUP(H10,рем_содер,7,0)*(P10+Q10+U10+V10),0)</f>
        <v>0</v>
      </c>
      <c r="X10" s="215"/>
      <c r="Y10" s="215"/>
      <c r="Z10" s="307"/>
      <c r="AA10" s="217">
        <f t="shared" si="107"/>
        <v>0</v>
      </c>
      <c r="AB10" s="217">
        <f t="shared" si="108"/>
        <v>0</v>
      </c>
      <c r="AC10" s="217">
        <f t="shared" si="109"/>
        <v>0</v>
      </c>
      <c r="AD10" s="217">
        <f t="shared" si="110"/>
        <v>0</v>
      </c>
      <c r="AE10" s="217">
        <f t="shared" si="111"/>
        <v>0</v>
      </c>
      <c r="AF10" s="217">
        <f t="shared" si="112"/>
        <v>0</v>
      </c>
      <c r="AG10" s="217">
        <f t="shared" si="113"/>
        <v>0</v>
      </c>
      <c r="AH10" s="217">
        <f t="shared" si="114"/>
        <v>0</v>
      </c>
      <c r="AI10" s="217">
        <f t="shared" si="115"/>
        <v>0</v>
      </c>
      <c r="AJ10" s="217">
        <f t="shared" si="120"/>
        <v>0</v>
      </c>
      <c r="AK10" s="218">
        <f t="shared" si="88"/>
        <v>0</v>
      </c>
      <c r="AL10" s="218">
        <f t="shared" si="56"/>
        <v>0</v>
      </c>
      <c r="AM10" s="218">
        <f t="shared" si="89"/>
        <v>0</v>
      </c>
      <c r="AN10" s="218">
        <f t="shared" si="58"/>
        <v>0</v>
      </c>
      <c r="AO10" s="218">
        <f t="shared" si="90"/>
        <v>0</v>
      </c>
      <c r="AP10" s="219">
        <f t="shared" si="91"/>
        <v>0</v>
      </c>
      <c r="AQ10" s="308">
        <v>1</v>
      </c>
      <c r="AR10" s="308">
        <v>12</v>
      </c>
      <c r="AS10" s="220">
        <v>1</v>
      </c>
      <c r="AT10" s="220">
        <v>12</v>
      </c>
      <c r="AU10" s="221">
        <f t="shared" si="61"/>
        <v>43252</v>
      </c>
      <c r="AV10" s="221">
        <f t="shared" si="62"/>
        <v>43617</v>
      </c>
      <c r="AW10" s="222">
        <f t="shared" si="117"/>
        <v>4.9299999999999997E-2</v>
      </c>
      <c r="AX10" s="222">
        <f t="shared" si="118"/>
        <v>9.64E-2</v>
      </c>
      <c r="AY10" s="219">
        <f t="shared" si="94"/>
        <v>0</v>
      </c>
      <c r="AZ10" s="219">
        <f t="shared" si="95"/>
        <v>0</v>
      </c>
      <c r="BA10" s="309"/>
      <c r="BB10" s="310"/>
      <c r="BC10" s="223" t="e">
        <f t="shared" si="119"/>
        <v>#DIV/0!</v>
      </c>
      <c r="BD10" s="224"/>
      <c r="BE10" s="225" t="e">
        <f t="shared" si="97"/>
        <v>#DIV/0!</v>
      </c>
      <c r="BF10" s="225" t="e">
        <f t="shared" si="98"/>
        <v>#DIV/0!</v>
      </c>
      <c r="BG10" s="225" t="e">
        <f t="shared" si="99"/>
        <v>#DIV/0!</v>
      </c>
      <c r="BH10" s="225" t="e">
        <f t="shared" si="100"/>
        <v>#DIV/0!</v>
      </c>
      <c r="BI10" s="225" t="e">
        <f t="shared" si="101"/>
        <v>#DIV/0!</v>
      </c>
      <c r="BJ10" s="226"/>
      <c r="BK10" s="307"/>
      <c r="BL10" s="307"/>
      <c r="BM10" s="307"/>
      <c r="BN10" s="307"/>
      <c r="BO10" s="307"/>
      <c r="BP10" s="307"/>
      <c r="BQ10" s="307"/>
      <c r="BR10" s="307"/>
      <c r="BS10" s="307"/>
      <c r="BT10" s="307"/>
      <c r="BU10" s="307"/>
      <c r="BV10" s="307"/>
      <c r="BW10" s="307"/>
      <c r="BX10" s="307"/>
      <c r="BY10" s="307"/>
      <c r="BZ10" s="307"/>
      <c r="CA10" s="307"/>
      <c r="CB10" s="307"/>
      <c r="CC10" s="307"/>
      <c r="CD10" s="307"/>
      <c r="CE10" s="307"/>
      <c r="CF10" s="307"/>
      <c r="CG10" s="307"/>
      <c r="CH10" s="307"/>
      <c r="CI10" s="307"/>
      <c r="CJ10" s="307"/>
      <c r="CK10" s="307"/>
      <c r="CL10" s="307"/>
      <c r="CM10" s="307"/>
      <c r="CN10" s="307"/>
      <c r="CO10" s="307"/>
      <c r="CP10" s="307"/>
      <c r="CQ10" s="307"/>
      <c r="CR10" s="307"/>
      <c r="CS10" s="307"/>
      <c r="CT10" s="307"/>
      <c r="CU10" s="307"/>
      <c r="CV10" s="307"/>
      <c r="CW10" s="307"/>
      <c r="CX10" s="307"/>
    </row>
    <row r="11" spans="1:102" s="229" customFormat="1" ht="25.5" customHeight="1">
      <c r="A11" s="304">
        <f t="shared" si="102"/>
        <v>8</v>
      </c>
      <c r="B11" s="302"/>
      <c r="C11" s="371"/>
      <c r="D11" s="230"/>
      <c r="E11" s="231" t="s">
        <v>241</v>
      </c>
      <c r="F11" s="232"/>
      <c r="G11" s="359"/>
      <c r="H11" s="233" t="s">
        <v>106</v>
      </c>
      <c r="I11" s="306"/>
      <c r="J11" s="307"/>
      <c r="K11" s="307"/>
      <c r="L11" s="307"/>
      <c r="M11" s="307"/>
      <c r="N11" s="307"/>
      <c r="O11" s="216">
        <f t="shared" si="103"/>
        <v>0</v>
      </c>
      <c r="P11" s="307">
        <f t="shared" si="74"/>
        <v>0</v>
      </c>
      <c r="Q11" s="307"/>
      <c r="R11" s="307"/>
      <c r="S11" s="307"/>
      <c r="T11" s="216">
        <f t="shared" si="104"/>
        <v>0</v>
      </c>
      <c r="U11" s="217">
        <f t="shared" si="105"/>
        <v>0</v>
      </c>
      <c r="V11" s="217">
        <f t="shared" si="106"/>
        <v>0</v>
      </c>
      <c r="W11" s="307">
        <f t="shared" si="121"/>
        <v>0</v>
      </c>
      <c r="X11" s="215"/>
      <c r="Y11" s="215"/>
      <c r="Z11" s="307"/>
      <c r="AA11" s="217">
        <f t="shared" si="107"/>
        <v>0</v>
      </c>
      <c r="AB11" s="217">
        <f t="shared" si="108"/>
        <v>0</v>
      </c>
      <c r="AC11" s="217">
        <f t="shared" si="109"/>
        <v>0</v>
      </c>
      <c r="AD11" s="217">
        <f t="shared" si="110"/>
        <v>0</v>
      </c>
      <c r="AE11" s="217">
        <f t="shared" si="111"/>
        <v>0</v>
      </c>
      <c r="AF11" s="217">
        <f t="shared" si="112"/>
        <v>0</v>
      </c>
      <c r="AG11" s="217">
        <f t="shared" si="113"/>
        <v>0</v>
      </c>
      <c r="AH11" s="217">
        <f t="shared" si="114"/>
        <v>0</v>
      </c>
      <c r="AI11" s="217">
        <f t="shared" si="115"/>
        <v>0</v>
      </c>
      <c r="AJ11" s="217">
        <f t="shared" si="120"/>
        <v>0</v>
      </c>
      <c r="AK11" s="218">
        <f t="shared" si="88"/>
        <v>0</v>
      </c>
      <c r="AL11" s="218">
        <f t="shared" si="56"/>
        <v>0</v>
      </c>
      <c r="AM11" s="218">
        <f t="shared" si="89"/>
        <v>0</v>
      </c>
      <c r="AN11" s="218">
        <f t="shared" si="58"/>
        <v>0</v>
      </c>
      <c r="AO11" s="218">
        <f t="shared" si="90"/>
        <v>0</v>
      </c>
      <c r="AP11" s="219">
        <f t="shared" si="91"/>
        <v>0</v>
      </c>
      <c r="AQ11" s="308">
        <v>1</v>
      </c>
      <c r="AR11" s="308">
        <v>12</v>
      </c>
      <c r="AS11" s="220">
        <v>1</v>
      </c>
      <c r="AT11" s="220">
        <v>12</v>
      </c>
      <c r="AU11" s="221">
        <f t="shared" si="61"/>
        <v>43252</v>
      </c>
      <c r="AV11" s="221">
        <f t="shared" si="62"/>
        <v>43617</v>
      </c>
      <c r="AW11" s="222">
        <f t="shared" si="117"/>
        <v>4.9299999999999997E-2</v>
      </c>
      <c r="AX11" s="222">
        <f t="shared" si="118"/>
        <v>9.64E-2</v>
      </c>
      <c r="AY11" s="219">
        <f t="shared" si="94"/>
        <v>0</v>
      </c>
      <c r="AZ11" s="219">
        <f t="shared" si="95"/>
        <v>0</v>
      </c>
      <c r="BA11" s="309"/>
      <c r="BB11" s="310"/>
      <c r="BC11" s="223" t="e">
        <f t="shared" si="119"/>
        <v>#DIV/0!</v>
      </c>
      <c r="BD11" s="224"/>
      <c r="BE11" s="225" t="e">
        <f t="shared" si="97"/>
        <v>#DIV/0!</v>
      </c>
      <c r="BF11" s="225" t="e">
        <f t="shared" si="98"/>
        <v>#DIV/0!</v>
      </c>
      <c r="BG11" s="225" t="e">
        <f t="shared" si="99"/>
        <v>#DIV/0!</v>
      </c>
      <c r="BH11" s="225" t="e">
        <f t="shared" si="100"/>
        <v>#DIV/0!</v>
      </c>
      <c r="BI11" s="225" t="e">
        <f t="shared" si="101"/>
        <v>#DIV/0!</v>
      </c>
      <c r="BJ11" s="226"/>
      <c r="BK11" s="307"/>
      <c r="BL11" s="307"/>
      <c r="BM11" s="307"/>
      <c r="BN11" s="307"/>
      <c r="BO11" s="307"/>
      <c r="BP11" s="307"/>
      <c r="BQ11" s="307"/>
      <c r="BR11" s="307"/>
      <c r="BS11" s="307"/>
      <c r="BT11" s="307"/>
      <c r="BU11" s="307"/>
      <c r="BV11" s="307"/>
      <c r="BW11" s="307"/>
      <c r="BX11" s="307"/>
      <c r="BY11" s="307"/>
      <c r="BZ11" s="307"/>
      <c r="CA11" s="307"/>
      <c r="CB11" s="307"/>
      <c r="CC11" s="307"/>
      <c r="CD11" s="307"/>
      <c r="CE11" s="307"/>
      <c r="CF11" s="307"/>
      <c r="CG11" s="307"/>
      <c r="CH11" s="307"/>
      <c r="CI11" s="307"/>
      <c r="CJ11" s="307"/>
      <c r="CK11" s="307"/>
      <c r="CL11" s="307"/>
      <c r="CM11" s="307"/>
      <c r="CN11" s="307"/>
      <c r="CO11" s="307"/>
      <c r="CP11" s="307"/>
      <c r="CQ11" s="307"/>
      <c r="CR11" s="307"/>
      <c r="CS11" s="307"/>
      <c r="CT11" s="307"/>
      <c r="CU11" s="307"/>
      <c r="CV11" s="307"/>
      <c r="CW11" s="307"/>
      <c r="CX11" s="307"/>
    </row>
    <row r="12" spans="1:102" s="229" customFormat="1" ht="25.5" customHeight="1">
      <c r="A12" s="304">
        <f t="shared" si="102"/>
        <v>9</v>
      </c>
      <c r="B12" s="302"/>
      <c r="C12" s="371"/>
      <c r="D12" s="230"/>
      <c r="E12" s="231" t="s">
        <v>241</v>
      </c>
      <c r="F12" s="232"/>
      <c r="G12" s="359"/>
      <c r="H12" s="233" t="s">
        <v>106</v>
      </c>
      <c r="I12" s="306"/>
      <c r="J12" s="307"/>
      <c r="K12" s="307"/>
      <c r="L12" s="307"/>
      <c r="M12" s="307"/>
      <c r="N12" s="307"/>
      <c r="O12" s="216">
        <f t="shared" si="103"/>
        <v>0</v>
      </c>
      <c r="P12" s="307">
        <f t="shared" si="74"/>
        <v>0</v>
      </c>
      <c r="Q12" s="307"/>
      <c r="R12" s="307"/>
      <c r="S12" s="307"/>
      <c r="T12" s="216">
        <f t="shared" si="104"/>
        <v>0</v>
      </c>
      <c r="U12" s="217">
        <f t="shared" si="105"/>
        <v>0</v>
      </c>
      <c r="V12" s="217">
        <f t="shared" si="106"/>
        <v>0</v>
      </c>
      <c r="W12" s="307">
        <f t="shared" si="121"/>
        <v>0</v>
      </c>
      <c r="X12" s="215"/>
      <c r="Y12" s="215"/>
      <c r="Z12" s="307"/>
      <c r="AA12" s="217">
        <f t="shared" si="107"/>
        <v>0</v>
      </c>
      <c r="AB12" s="217">
        <f t="shared" si="108"/>
        <v>0</v>
      </c>
      <c r="AC12" s="217">
        <f t="shared" si="109"/>
        <v>0</v>
      </c>
      <c r="AD12" s="217">
        <f t="shared" si="110"/>
        <v>0</v>
      </c>
      <c r="AE12" s="217">
        <f t="shared" si="111"/>
        <v>0</v>
      </c>
      <c r="AF12" s="217">
        <f t="shared" si="112"/>
        <v>0</v>
      </c>
      <c r="AG12" s="217">
        <f t="shared" si="113"/>
        <v>0</v>
      </c>
      <c r="AH12" s="217">
        <f t="shared" si="114"/>
        <v>0</v>
      </c>
      <c r="AI12" s="217">
        <f t="shared" si="115"/>
        <v>0</v>
      </c>
      <c r="AJ12" s="217">
        <f t="shared" si="120"/>
        <v>0</v>
      </c>
      <c r="AK12" s="218">
        <f t="shared" si="88"/>
        <v>0</v>
      </c>
      <c r="AL12" s="218">
        <f t="shared" si="56"/>
        <v>0</v>
      </c>
      <c r="AM12" s="218">
        <f t="shared" si="89"/>
        <v>0</v>
      </c>
      <c r="AN12" s="218">
        <f t="shared" si="58"/>
        <v>0</v>
      </c>
      <c r="AO12" s="218">
        <f t="shared" si="90"/>
        <v>0</v>
      </c>
      <c r="AP12" s="219">
        <f t="shared" si="91"/>
        <v>0</v>
      </c>
      <c r="AQ12" s="308">
        <v>1</v>
      </c>
      <c r="AR12" s="308">
        <v>12</v>
      </c>
      <c r="AS12" s="220">
        <v>1</v>
      </c>
      <c r="AT12" s="220">
        <v>12</v>
      </c>
      <c r="AU12" s="221">
        <f t="shared" si="61"/>
        <v>43252</v>
      </c>
      <c r="AV12" s="221">
        <f t="shared" si="62"/>
        <v>43617</v>
      </c>
      <c r="AW12" s="222">
        <f t="shared" si="117"/>
        <v>4.9299999999999997E-2</v>
      </c>
      <c r="AX12" s="222">
        <f t="shared" si="118"/>
        <v>9.64E-2</v>
      </c>
      <c r="AY12" s="219">
        <f t="shared" si="94"/>
        <v>0</v>
      </c>
      <c r="AZ12" s="219">
        <f t="shared" si="95"/>
        <v>0</v>
      </c>
      <c r="BA12" s="309"/>
      <c r="BB12" s="310"/>
      <c r="BC12" s="223" t="e">
        <f t="shared" si="119"/>
        <v>#DIV/0!</v>
      </c>
      <c r="BD12" s="224"/>
      <c r="BE12" s="225" t="e">
        <f t="shared" si="97"/>
        <v>#DIV/0!</v>
      </c>
      <c r="BF12" s="225" t="e">
        <f t="shared" si="98"/>
        <v>#DIV/0!</v>
      </c>
      <c r="BG12" s="225" t="e">
        <f t="shared" si="99"/>
        <v>#DIV/0!</v>
      </c>
      <c r="BH12" s="225" t="e">
        <f t="shared" si="100"/>
        <v>#DIV/0!</v>
      </c>
      <c r="BI12" s="225" t="e">
        <f t="shared" si="101"/>
        <v>#DIV/0!</v>
      </c>
      <c r="BJ12" s="226"/>
      <c r="BK12" s="307"/>
      <c r="BL12" s="307"/>
      <c r="BM12" s="307"/>
      <c r="BN12" s="307"/>
      <c r="BO12" s="307"/>
      <c r="BP12" s="307"/>
      <c r="BQ12" s="307"/>
      <c r="BR12" s="307"/>
      <c r="BS12" s="307"/>
      <c r="BT12" s="307"/>
      <c r="BU12" s="307"/>
      <c r="BV12" s="307"/>
      <c r="BW12" s="307"/>
      <c r="BX12" s="307"/>
      <c r="BY12" s="307"/>
      <c r="BZ12" s="307"/>
      <c r="CA12" s="307"/>
      <c r="CB12" s="307"/>
      <c r="CC12" s="307"/>
      <c r="CD12" s="307"/>
      <c r="CE12" s="307"/>
      <c r="CF12" s="307"/>
      <c r="CG12" s="307"/>
      <c r="CH12" s="307"/>
      <c r="CI12" s="307"/>
      <c r="CJ12" s="307"/>
      <c r="CK12" s="307"/>
      <c r="CL12" s="307"/>
      <c r="CM12" s="307"/>
      <c r="CN12" s="307"/>
      <c r="CO12" s="307"/>
      <c r="CP12" s="307"/>
      <c r="CQ12" s="307"/>
      <c r="CR12" s="307"/>
      <c r="CS12" s="307"/>
      <c r="CT12" s="307"/>
      <c r="CU12" s="307"/>
      <c r="CV12" s="307"/>
      <c r="CW12" s="307"/>
      <c r="CX12" s="307"/>
    </row>
    <row r="13" spans="1:102" s="229" customFormat="1" ht="25.5" customHeight="1">
      <c r="A13" s="304">
        <f t="shared" si="102"/>
        <v>10</v>
      </c>
      <c r="B13" s="302"/>
      <c r="C13" s="371"/>
      <c r="D13" s="230"/>
      <c r="E13" s="231" t="s">
        <v>241</v>
      </c>
      <c r="F13" s="232"/>
      <c r="G13" s="359"/>
      <c r="H13" s="233" t="s">
        <v>106</v>
      </c>
      <c r="I13" s="306"/>
      <c r="J13" s="307"/>
      <c r="K13" s="307"/>
      <c r="L13" s="307"/>
      <c r="M13" s="307"/>
      <c r="N13" s="307"/>
      <c r="O13" s="216">
        <f t="shared" si="103"/>
        <v>0</v>
      </c>
      <c r="P13" s="307">
        <f t="shared" si="74"/>
        <v>0</v>
      </c>
      <c r="Q13" s="307"/>
      <c r="R13" s="307"/>
      <c r="S13" s="307"/>
      <c r="T13" s="216">
        <f t="shared" si="104"/>
        <v>0</v>
      </c>
      <c r="U13" s="217">
        <f t="shared" si="105"/>
        <v>0</v>
      </c>
      <c r="V13" s="217">
        <f t="shared" si="106"/>
        <v>0</v>
      </c>
      <c r="W13" s="307">
        <f t="shared" si="121"/>
        <v>0</v>
      </c>
      <c r="X13" s="215"/>
      <c r="Y13" s="215"/>
      <c r="Z13" s="307"/>
      <c r="AA13" s="217">
        <f t="shared" si="107"/>
        <v>0</v>
      </c>
      <c r="AB13" s="217">
        <f t="shared" si="108"/>
        <v>0</v>
      </c>
      <c r="AC13" s="217">
        <f t="shared" si="109"/>
        <v>0</v>
      </c>
      <c r="AD13" s="217">
        <f t="shared" si="110"/>
        <v>0</v>
      </c>
      <c r="AE13" s="217">
        <f t="shared" si="111"/>
        <v>0</v>
      </c>
      <c r="AF13" s="217">
        <f t="shared" si="112"/>
        <v>0</v>
      </c>
      <c r="AG13" s="217">
        <f t="shared" si="113"/>
        <v>0</v>
      </c>
      <c r="AH13" s="217">
        <f t="shared" si="114"/>
        <v>0</v>
      </c>
      <c r="AI13" s="217">
        <f t="shared" si="115"/>
        <v>0</v>
      </c>
      <c r="AJ13" s="217">
        <f t="shared" si="120"/>
        <v>0</v>
      </c>
      <c r="AK13" s="218">
        <f t="shared" si="88"/>
        <v>0</v>
      </c>
      <c r="AL13" s="218">
        <f t="shared" si="56"/>
        <v>0</v>
      </c>
      <c r="AM13" s="218">
        <f t="shared" si="89"/>
        <v>0</v>
      </c>
      <c r="AN13" s="218">
        <f t="shared" si="58"/>
        <v>0</v>
      </c>
      <c r="AO13" s="218">
        <f t="shared" si="90"/>
        <v>0</v>
      </c>
      <c r="AP13" s="219">
        <f t="shared" si="91"/>
        <v>0</v>
      </c>
      <c r="AQ13" s="308">
        <v>1</v>
      </c>
      <c r="AR13" s="308">
        <v>12</v>
      </c>
      <c r="AS13" s="220">
        <v>1</v>
      </c>
      <c r="AT13" s="220">
        <v>12</v>
      </c>
      <c r="AU13" s="221">
        <f t="shared" si="61"/>
        <v>43252</v>
      </c>
      <c r="AV13" s="221">
        <f t="shared" si="62"/>
        <v>43617</v>
      </c>
      <c r="AW13" s="222">
        <f t="shared" si="117"/>
        <v>4.9299999999999997E-2</v>
      </c>
      <c r="AX13" s="222">
        <f t="shared" si="118"/>
        <v>9.64E-2</v>
      </c>
      <c r="AY13" s="219">
        <f t="shared" si="94"/>
        <v>0</v>
      </c>
      <c r="AZ13" s="219">
        <f t="shared" si="95"/>
        <v>0</v>
      </c>
      <c r="BA13" s="309"/>
      <c r="BB13" s="310"/>
      <c r="BC13" s="223" t="e">
        <f t="shared" si="119"/>
        <v>#DIV/0!</v>
      </c>
      <c r="BD13" s="224"/>
      <c r="BE13" s="225" t="e">
        <f t="shared" si="97"/>
        <v>#DIV/0!</v>
      </c>
      <c r="BF13" s="225" t="e">
        <f t="shared" si="98"/>
        <v>#DIV/0!</v>
      </c>
      <c r="BG13" s="225" t="e">
        <f t="shared" si="99"/>
        <v>#DIV/0!</v>
      </c>
      <c r="BH13" s="225" t="e">
        <f t="shared" si="100"/>
        <v>#DIV/0!</v>
      </c>
      <c r="BI13" s="225" t="e">
        <f t="shared" si="101"/>
        <v>#DIV/0!</v>
      </c>
      <c r="BJ13" s="226"/>
      <c r="BK13" s="307"/>
      <c r="BL13" s="307"/>
      <c r="BM13" s="307"/>
      <c r="BN13" s="307"/>
      <c r="BO13" s="307"/>
      <c r="BP13" s="307"/>
      <c r="BQ13" s="307"/>
      <c r="BR13" s="307"/>
      <c r="BS13" s="307"/>
      <c r="BT13" s="307"/>
      <c r="BU13" s="307"/>
      <c r="BV13" s="307"/>
      <c r="BW13" s="307"/>
      <c r="BX13" s="307"/>
      <c r="BY13" s="307"/>
      <c r="BZ13" s="307"/>
      <c r="CA13" s="307"/>
      <c r="CB13" s="307"/>
      <c r="CC13" s="307"/>
      <c r="CD13" s="307"/>
      <c r="CE13" s="307"/>
      <c r="CF13" s="307"/>
      <c r="CG13" s="307"/>
      <c r="CH13" s="307"/>
      <c r="CI13" s="307"/>
      <c r="CJ13" s="307"/>
      <c r="CK13" s="307"/>
      <c r="CL13" s="307"/>
      <c r="CM13" s="307"/>
      <c r="CN13" s="307"/>
      <c r="CO13" s="307"/>
      <c r="CP13" s="307"/>
      <c r="CQ13" s="307"/>
      <c r="CR13" s="307"/>
      <c r="CS13" s="307"/>
      <c r="CT13" s="307"/>
      <c r="CU13" s="307"/>
      <c r="CV13" s="307"/>
      <c r="CW13" s="307"/>
      <c r="CX13" s="307"/>
    </row>
    <row r="14" spans="1:102" s="229" customFormat="1" ht="22.5" hidden="1">
      <c r="A14" s="304">
        <f t="shared" si="102"/>
        <v>11</v>
      </c>
      <c r="B14" s="302"/>
      <c r="C14" s="371"/>
      <c r="D14" s="230"/>
      <c r="E14" s="231" t="s">
        <v>241</v>
      </c>
      <c r="F14" s="232"/>
      <c r="G14" s="305"/>
      <c r="H14" s="233" t="s">
        <v>106</v>
      </c>
      <c r="I14" s="306"/>
      <c r="J14" s="307"/>
      <c r="K14" s="307"/>
      <c r="L14" s="307"/>
      <c r="M14" s="307"/>
      <c r="N14" s="307"/>
      <c r="O14" s="216">
        <f t="shared" si="103"/>
        <v>0</v>
      </c>
      <c r="P14" s="307">
        <f t="shared" si="74"/>
        <v>0</v>
      </c>
      <c r="Q14" s="307"/>
      <c r="R14" s="307"/>
      <c r="S14" s="307"/>
      <c r="T14" s="216">
        <f t="shared" si="104"/>
        <v>0</v>
      </c>
      <c r="U14" s="217">
        <f t="shared" si="105"/>
        <v>0</v>
      </c>
      <c r="V14" s="217">
        <f t="shared" si="106"/>
        <v>0</v>
      </c>
      <c r="W14" s="307">
        <f t="shared" si="121"/>
        <v>0</v>
      </c>
      <c r="X14" s="215"/>
      <c r="Y14" s="215"/>
      <c r="Z14" s="307"/>
      <c r="AA14" s="217">
        <f t="shared" si="107"/>
        <v>0</v>
      </c>
      <c r="AB14" s="217">
        <f t="shared" si="108"/>
        <v>0</v>
      </c>
      <c r="AC14" s="217">
        <f t="shared" si="109"/>
        <v>0</v>
      </c>
      <c r="AD14" s="217">
        <f t="shared" si="110"/>
        <v>0</v>
      </c>
      <c r="AE14" s="217">
        <f t="shared" si="111"/>
        <v>0</v>
      </c>
      <c r="AF14" s="217">
        <f t="shared" si="112"/>
        <v>0</v>
      </c>
      <c r="AG14" s="217">
        <f t="shared" si="113"/>
        <v>0</v>
      </c>
      <c r="AH14" s="217">
        <f t="shared" si="114"/>
        <v>0</v>
      </c>
      <c r="AI14" s="217">
        <f t="shared" si="115"/>
        <v>0</v>
      </c>
      <c r="AJ14" s="217">
        <f t="shared" si="120"/>
        <v>0</v>
      </c>
      <c r="AK14" s="218">
        <f t="shared" si="88"/>
        <v>0</v>
      </c>
      <c r="AL14" s="218">
        <f t="shared" si="56"/>
        <v>0</v>
      </c>
      <c r="AM14" s="218">
        <f t="shared" si="89"/>
        <v>0</v>
      </c>
      <c r="AN14" s="218">
        <f t="shared" si="58"/>
        <v>0</v>
      </c>
      <c r="AO14" s="218">
        <f t="shared" si="90"/>
        <v>0</v>
      </c>
      <c r="AP14" s="219">
        <f t="shared" si="91"/>
        <v>0</v>
      </c>
      <c r="AQ14" s="308">
        <v>4</v>
      </c>
      <c r="AR14" s="308">
        <v>12</v>
      </c>
      <c r="AS14" s="220">
        <v>1</v>
      </c>
      <c r="AT14" s="220">
        <v>12</v>
      </c>
      <c r="AU14" s="221">
        <f t="shared" si="61"/>
        <v>43313</v>
      </c>
      <c r="AV14" s="221">
        <f t="shared" si="62"/>
        <v>43617</v>
      </c>
      <c r="AW14" s="222">
        <f t="shared" si="117"/>
        <v>5.7099999999999998E-2</v>
      </c>
      <c r="AX14" s="222">
        <f t="shared" si="118"/>
        <v>9.64E-2</v>
      </c>
      <c r="AY14" s="219">
        <f t="shared" si="94"/>
        <v>0</v>
      </c>
      <c r="AZ14" s="219">
        <f t="shared" si="95"/>
        <v>0</v>
      </c>
      <c r="BA14" s="309"/>
      <c r="BB14" s="310"/>
      <c r="BC14" s="223" t="e">
        <f t="shared" si="119"/>
        <v>#DIV/0!</v>
      </c>
      <c r="BD14" s="224"/>
      <c r="BE14" s="225" t="e">
        <f t="shared" si="97"/>
        <v>#DIV/0!</v>
      </c>
      <c r="BF14" s="225" t="e">
        <f t="shared" si="98"/>
        <v>#DIV/0!</v>
      </c>
      <c r="BG14" s="225" t="e">
        <f t="shared" si="99"/>
        <v>#DIV/0!</v>
      </c>
      <c r="BH14" s="225" t="e">
        <f t="shared" si="100"/>
        <v>#DIV/0!</v>
      </c>
      <c r="BI14" s="225" t="e">
        <f t="shared" si="101"/>
        <v>#DIV/0!</v>
      </c>
      <c r="BJ14" s="226"/>
      <c r="BK14" s="307"/>
      <c r="BL14" s="307"/>
      <c r="BM14" s="307"/>
      <c r="BN14" s="307"/>
      <c r="BO14" s="307"/>
      <c r="BP14" s="307"/>
      <c r="BQ14" s="307"/>
      <c r="BR14" s="307"/>
      <c r="BS14" s="307"/>
      <c r="BT14" s="307"/>
      <c r="BU14" s="307"/>
      <c r="BV14" s="307"/>
      <c r="BW14" s="307"/>
      <c r="BX14" s="307"/>
      <c r="BY14" s="307"/>
      <c r="BZ14" s="307"/>
      <c r="CA14" s="307"/>
      <c r="CB14" s="307"/>
      <c r="CC14" s="307"/>
      <c r="CD14" s="307"/>
      <c r="CE14" s="307"/>
      <c r="CF14" s="307"/>
      <c r="CG14" s="307"/>
      <c r="CH14" s="307"/>
      <c r="CI14" s="307"/>
      <c r="CJ14" s="307"/>
      <c r="CK14" s="307"/>
      <c r="CL14" s="307"/>
      <c r="CM14" s="307"/>
      <c r="CN14" s="307"/>
      <c r="CO14" s="307"/>
      <c r="CP14" s="307"/>
      <c r="CQ14" s="307"/>
      <c r="CR14" s="307"/>
      <c r="CS14" s="307"/>
      <c r="CT14" s="307"/>
      <c r="CU14" s="307"/>
      <c r="CV14" s="307"/>
      <c r="CW14" s="307"/>
      <c r="CX14" s="307"/>
    </row>
    <row r="15" spans="1:102" s="229" customFormat="1" ht="22.5" hidden="1">
      <c r="A15" s="304">
        <f t="shared" si="102"/>
        <v>12</v>
      </c>
      <c r="B15" s="302"/>
      <c r="C15" s="371"/>
      <c r="D15" s="230"/>
      <c r="E15" s="231" t="s">
        <v>241</v>
      </c>
      <c r="F15" s="232"/>
      <c r="G15" s="305"/>
      <c r="H15" s="233" t="s">
        <v>106</v>
      </c>
      <c r="I15" s="306"/>
      <c r="J15" s="307"/>
      <c r="K15" s="307"/>
      <c r="L15" s="307"/>
      <c r="M15" s="307"/>
      <c r="N15" s="307"/>
      <c r="O15" s="216">
        <f t="shared" si="103"/>
        <v>0</v>
      </c>
      <c r="P15" s="307">
        <f t="shared" si="74"/>
        <v>0</v>
      </c>
      <c r="Q15" s="307"/>
      <c r="R15" s="307"/>
      <c r="S15" s="307"/>
      <c r="T15" s="216">
        <f t="shared" si="104"/>
        <v>0</v>
      </c>
      <c r="U15" s="217">
        <f t="shared" si="105"/>
        <v>0</v>
      </c>
      <c r="V15" s="217">
        <f t="shared" si="106"/>
        <v>0</v>
      </c>
      <c r="W15" s="307">
        <f t="shared" si="121"/>
        <v>0</v>
      </c>
      <c r="X15" s="215"/>
      <c r="Y15" s="215"/>
      <c r="Z15" s="307"/>
      <c r="AA15" s="217">
        <f t="shared" si="107"/>
        <v>0</v>
      </c>
      <c r="AB15" s="217">
        <f t="shared" si="108"/>
        <v>0</v>
      </c>
      <c r="AC15" s="217">
        <f t="shared" si="109"/>
        <v>0</v>
      </c>
      <c r="AD15" s="217">
        <f t="shared" si="110"/>
        <v>0</v>
      </c>
      <c r="AE15" s="217">
        <f t="shared" si="111"/>
        <v>0</v>
      </c>
      <c r="AF15" s="217">
        <f t="shared" si="112"/>
        <v>0</v>
      </c>
      <c r="AG15" s="217">
        <f t="shared" si="113"/>
        <v>0</v>
      </c>
      <c r="AH15" s="217">
        <f t="shared" si="114"/>
        <v>0</v>
      </c>
      <c r="AI15" s="217">
        <f t="shared" si="115"/>
        <v>0</v>
      </c>
      <c r="AJ15" s="217">
        <f t="shared" si="120"/>
        <v>0</v>
      </c>
      <c r="AK15" s="218">
        <f t="shared" si="88"/>
        <v>0</v>
      </c>
      <c r="AL15" s="218">
        <f t="shared" ref="AL15:AL33" si="122">ROUND($AW15*$AK15,0)</f>
        <v>0</v>
      </c>
      <c r="AM15" s="218">
        <f t="shared" si="89"/>
        <v>0</v>
      </c>
      <c r="AN15" s="218">
        <f t="shared" si="58"/>
        <v>0</v>
      </c>
      <c r="AO15" s="218">
        <f t="shared" si="90"/>
        <v>0</v>
      </c>
      <c r="AP15" s="219">
        <f t="shared" ref="AP15:AP33" si="123">SUM(AJ15,AL15,AM15,AN15,AO15)</f>
        <v>0</v>
      </c>
      <c r="AQ15" s="308">
        <v>4</v>
      </c>
      <c r="AR15" s="308">
        <v>12</v>
      </c>
      <c r="AS15" s="220">
        <v>1</v>
      </c>
      <c r="AT15" s="220">
        <v>12</v>
      </c>
      <c r="AU15" s="221">
        <f t="shared" si="61"/>
        <v>43313</v>
      </c>
      <c r="AV15" s="221">
        <f t="shared" si="62"/>
        <v>43617</v>
      </c>
      <c r="AW15" s="222">
        <f t="shared" si="117"/>
        <v>5.7099999999999998E-2</v>
      </c>
      <c r="AX15" s="222">
        <f t="shared" si="118"/>
        <v>9.64E-2</v>
      </c>
      <c r="AY15" s="219">
        <f t="shared" ref="AY15:AY33" si="124">AK15+AL15+AM15</f>
        <v>0</v>
      </c>
      <c r="AZ15" s="219">
        <f t="shared" ref="AZ15:AZ33" si="125">IF(F15="да",AJ15-AK15+AN15+AO15,0)</f>
        <v>0</v>
      </c>
      <c r="BA15" s="309"/>
      <c r="BB15" s="310"/>
      <c r="BC15" s="223" t="e">
        <f t="shared" si="119"/>
        <v>#DIV/0!</v>
      </c>
      <c r="BD15" s="224"/>
      <c r="BE15" s="225" t="e">
        <f t="shared" si="97"/>
        <v>#DIV/0!</v>
      </c>
      <c r="BF15" s="225" t="e">
        <f t="shared" si="98"/>
        <v>#DIV/0!</v>
      </c>
      <c r="BG15" s="225" t="e">
        <f t="shared" si="99"/>
        <v>#DIV/0!</v>
      </c>
      <c r="BH15" s="225" t="e">
        <f t="shared" si="100"/>
        <v>#DIV/0!</v>
      </c>
      <c r="BI15" s="225" t="e">
        <f t="shared" si="101"/>
        <v>#DIV/0!</v>
      </c>
      <c r="BJ15" s="226"/>
      <c r="BK15" s="307"/>
      <c r="BL15" s="307"/>
      <c r="BM15" s="307"/>
      <c r="BN15" s="307"/>
      <c r="BO15" s="307"/>
      <c r="BP15" s="307"/>
      <c r="BQ15" s="307"/>
      <c r="BR15" s="307"/>
      <c r="BS15" s="307"/>
      <c r="BT15" s="307"/>
      <c r="BU15" s="307"/>
      <c r="BV15" s="307"/>
      <c r="BW15" s="307"/>
      <c r="BX15" s="307"/>
      <c r="BY15" s="307"/>
      <c r="BZ15" s="307"/>
      <c r="CA15" s="307"/>
      <c r="CB15" s="307"/>
      <c r="CC15" s="307"/>
      <c r="CD15" s="307"/>
      <c r="CE15" s="307"/>
      <c r="CF15" s="307"/>
      <c r="CG15" s="307"/>
      <c r="CH15" s="307"/>
      <c r="CI15" s="307"/>
      <c r="CJ15" s="307"/>
      <c r="CK15" s="307"/>
      <c r="CL15" s="307"/>
      <c r="CM15" s="307"/>
      <c r="CN15" s="307"/>
      <c r="CO15" s="307"/>
      <c r="CP15" s="307"/>
      <c r="CQ15" s="307"/>
      <c r="CR15" s="307"/>
      <c r="CS15" s="307"/>
      <c r="CT15" s="307"/>
      <c r="CU15" s="307"/>
      <c r="CV15" s="307"/>
      <c r="CW15" s="307"/>
      <c r="CX15" s="307"/>
    </row>
    <row r="16" spans="1:102" s="229" customFormat="1" ht="22.5" hidden="1">
      <c r="A16" s="304">
        <f t="shared" si="102"/>
        <v>13</v>
      </c>
      <c r="B16" s="302"/>
      <c r="C16" s="371"/>
      <c r="D16" s="230"/>
      <c r="E16" s="231" t="s">
        <v>241</v>
      </c>
      <c r="F16" s="232"/>
      <c r="G16" s="305"/>
      <c r="H16" s="233" t="s">
        <v>106</v>
      </c>
      <c r="I16" s="306"/>
      <c r="J16" s="307"/>
      <c r="K16" s="307"/>
      <c r="L16" s="307"/>
      <c r="M16" s="307"/>
      <c r="N16" s="307"/>
      <c r="O16" s="216">
        <f t="shared" si="103"/>
        <v>0</v>
      </c>
      <c r="P16" s="307">
        <f t="shared" si="74"/>
        <v>0</v>
      </c>
      <c r="Q16" s="307"/>
      <c r="R16" s="307"/>
      <c r="S16" s="307"/>
      <c r="T16" s="216">
        <f t="shared" si="104"/>
        <v>0</v>
      </c>
      <c r="U16" s="217">
        <f t="shared" si="105"/>
        <v>0</v>
      </c>
      <c r="V16" s="217">
        <f t="shared" si="106"/>
        <v>0</v>
      </c>
      <c r="W16" s="307">
        <f t="shared" si="121"/>
        <v>0</v>
      </c>
      <c r="X16" s="215"/>
      <c r="Y16" s="215"/>
      <c r="Z16" s="307"/>
      <c r="AA16" s="217">
        <f t="shared" si="107"/>
        <v>0</v>
      </c>
      <c r="AB16" s="217">
        <f t="shared" si="108"/>
        <v>0</v>
      </c>
      <c r="AC16" s="217">
        <f t="shared" si="109"/>
        <v>0</v>
      </c>
      <c r="AD16" s="217">
        <f t="shared" si="110"/>
        <v>0</v>
      </c>
      <c r="AE16" s="217">
        <f t="shared" si="111"/>
        <v>0</v>
      </c>
      <c r="AF16" s="217">
        <f t="shared" si="112"/>
        <v>0</v>
      </c>
      <c r="AG16" s="217">
        <f t="shared" si="113"/>
        <v>0</v>
      </c>
      <c r="AH16" s="217">
        <f t="shared" si="114"/>
        <v>0</v>
      </c>
      <c r="AI16" s="217">
        <f t="shared" si="115"/>
        <v>0</v>
      </c>
      <c r="AJ16" s="217">
        <f t="shared" si="120"/>
        <v>0</v>
      </c>
      <c r="AK16" s="218">
        <f t="shared" si="88"/>
        <v>0</v>
      </c>
      <c r="AL16" s="218">
        <f t="shared" si="122"/>
        <v>0</v>
      </c>
      <c r="AM16" s="218">
        <f t="shared" si="89"/>
        <v>0</v>
      </c>
      <c r="AN16" s="218">
        <f t="shared" ref="AN16:AN33" si="126">ROUND($AX16*($AJ16-$AK16),0)</f>
        <v>0</v>
      </c>
      <c r="AO16" s="218">
        <f t="shared" ref="AO16:AO33" si="127">ROUND(18%*(AJ16-AK16+AN16),0)</f>
        <v>0</v>
      </c>
      <c r="AP16" s="219">
        <f t="shared" si="123"/>
        <v>0</v>
      </c>
      <c r="AQ16" s="308">
        <v>4</v>
      </c>
      <c r="AR16" s="308">
        <v>12</v>
      </c>
      <c r="AS16" s="220">
        <v>1</v>
      </c>
      <c r="AT16" s="220">
        <v>12</v>
      </c>
      <c r="AU16" s="221">
        <f t="shared" si="61"/>
        <v>43313</v>
      </c>
      <c r="AV16" s="221">
        <f t="shared" si="62"/>
        <v>43617</v>
      </c>
      <c r="AW16" s="222">
        <f t="shared" si="117"/>
        <v>5.7099999999999998E-2</v>
      </c>
      <c r="AX16" s="222">
        <f t="shared" si="118"/>
        <v>9.64E-2</v>
      </c>
      <c r="AY16" s="219">
        <f t="shared" si="124"/>
        <v>0</v>
      </c>
      <c r="AZ16" s="219">
        <f t="shared" si="125"/>
        <v>0</v>
      </c>
      <c r="BA16" s="309"/>
      <c r="BB16" s="310"/>
      <c r="BC16" s="223" t="e">
        <f t="shared" si="119"/>
        <v>#DIV/0!</v>
      </c>
      <c r="BD16" s="224"/>
      <c r="BE16" s="225" t="e">
        <f t="shared" si="97"/>
        <v>#DIV/0!</v>
      </c>
      <c r="BF16" s="225" t="e">
        <f t="shared" si="98"/>
        <v>#DIV/0!</v>
      </c>
      <c r="BG16" s="225" t="e">
        <f t="shared" si="99"/>
        <v>#DIV/0!</v>
      </c>
      <c r="BH16" s="225" t="e">
        <f t="shared" si="100"/>
        <v>#DIV/0!</v>
      </c>
      <c r="BI16" s="225" t="e">
        <f t="shared" si="101"/>
        <v>#DIV/0!</v>
      </c>
      <c r="BJ16" s="226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7"/>
      <c r="BW16" s="307"/>
      <c r="BX16" s="307"/>
      <c r="BY16" s="307"/>
      <c r="BZ16" s="307"/>
      <c r="CA16" s="307"/>
      <c r="CB16" s="307"/>
      <c r="CC16" s="307"/>
      <c r="CD16" s="307"/>
      <c r="CE16" s="307"/>
      <c r="CF16" s="307"/>
      <c r="CG16" s="307"/>
      <c r="CH16" s="307"/>
      <c r="CI16" s="307"/>
      <c r="CJ16" s="307"/>
      <c r="CK16" s="307"/>
      <c r="CL16" s="307"/>
      <c r="CM16" s="307"/>
      <c r="CN16" s="307"/>
      <c r="CO16" s="307"/>
      <c r="CP16" s="307"/>
      <c r="CQ16" s="307"/>
      <c r="CR16" s="307"/>
      <c r="CS16" s="307"/>
      <c r="CT16" s="307"/>
      <c r="CU16" s="307"/>
      <c r="CV16" s="307"/>
      <c r="CW16" s="307"/>
      <c r="CX16" s="307"/>
    </row>
    <row r="17" spans="1:102" s="229" customFormat="1" ht="22.5" hidden="1">
      <c r="A17" s="304">
        <f t="shared" si="102"/>
        <v>14</v>
      </c>
      <c r="B17" s="302"/>
      <c r="C17" s="371"/>
      <c r="D17" s="230"/>
      <c r="E17" s="231" t="s">
        <v>241</v>
      </c>
      <c r="F17" s="232"/>
      <c r="G17" s="305"/>
      <c r="H17" s="233" t="s">
        <v>106</v>
      </c>
      <c r="I17" s="306"/>
      <c r="J17" s="307"/>
      <c r="K17" s="307"/>
      <c r="L17" s="307"/>
      <c r="M17" s="307"/>
      <c r="N17" s="307"/>
      <c r="O17" s="216">
        <f t="shared" si="103"/>
        <v>0</v>
      </c>
      <c r="P17" s="307">
        <f t="shared" si="74"/>
        <v>0</v>
      </c>
      <c r="Q17" s="307"/>
      <c r="R17" s="307"/>
      <c r="S17" s="307"/>
      <c r="T17" s="216">
        <f t="shared" si="104"/>
        <v>0</v>
      </c>
      <c r="U17" s="217">
        <f t="shared" si="105"/>
        <v>0</v>
      </c>
      <c r="V17" s="217">
        <f t="shared" si="106"/>
        <v>0</v>
      </c>
      <c r="W17" s="307">
        <f t="shared" si="121"/>
        <v>0</v>
      </c>
      <c r="X17" s="215"/>
      <c r="Y17" s="215"/>
      <c r="Z17" s="307"/>
      <c r="AA17" s="217">
        <f t="shared" si="107"/>
        <v>0</v>
      </c>
      <c r="AB17" s="217">
        <f t="shared" si="108"/>
        <v>0</v>
      </c>
      <c r="AC17" s="217">
        <f t="shared" si="109"/>
        <v>0</v>
      </c>
      <c r="AD17" s="217">
        <f t="shared" si="110"/>
        <v>0</v>
      </c>
      <c r="AE17" s="217">
        <f t="shared" si="111"/>
        <v>0</v>
      </c>
      <c r="AF17" s="217">
        <f t="shared" si="112"/>
        <v>0</v>
      </c>
      <c r="AG17" s="217">
        <f t="shared" si="113"/>
        <v>0</v>
      </c>
      <c r="AH17" s="217">
        <f t="shared" si="114"/>
        <v>0</v>
      </c>
      <c r="AI17" s="217">
        <f t="shared" si="115"/>
        <v>0</v>
      </c>
      <c r="AJ17" s="217">
        <f t="shared" si="120"/>
        <v>0</v>
      </c>
      <c r="AK17" s="218">
        <f t="shared" ref="AK17:AK33" si="128">AJ17</f>
        <v>0</v>
      </c>
      <c r="AL17" s="218">
        <f t="shared" si="122"/>
        <v>0</v>
      </c>
      <c r="AM17" s="218">
        <f t="shared" si="89"/>
        <v>0</v>
      </c>
      <c r="AN17" s="218">
        <f t="shared" si="126"/>
        <v>0</v>
      </c>
      <c r="AO17" s="218">
        <f t="shared" si="127"/>
        <v>0</v>
      </c>
      <c r="AP17" s="219">
        <f t="shared" si="123"/>
        <v>0</v>
      </c>
      <c r="AQ17" s="308">
        <v>4</v>
      </c>
      <c r="AR17" s="308">
        <v>12</v>
      </c>
      <c r="AS17" s="220">
        <v>1</v>
      </c>
      <c r="AT17" s="220">
        <v>12</v>
      </c>
      <c r="AU17" s="221">
        <f t="shared" si="61"/>
        <v>43313</v>
      </c>
      <c r="AV17" s="221">
        <f t="shared" si="62"/>
        <v>43617</v>
      </c>
      <c r="AW17" s="222">
        <f t="shared" si="117"/>
        <v>5.7099999999999998E-2</v>
      </c>
      <c r="AX17" s="222">
        <f t="shared" si="118"/>
        <v>9.64E-2</v>
      </c>
      <c r="AY17" s="219">
        <f t="shared" si="124"/>
        <v>0</v>
      </c>
      <c r="AZ17" s="219">
        <f t="shared" si="125"/>
        <v>0</v>
      </c>
      <c r="BA17" s="309"/>
      <c r="BB17" s="310"/>
      <c r="BC17" s="223" t="e">
        <f t="shared" si="119"/>
        <v>#DIV/0!</v>
      </c>
      <c r="BD17" s="224"/>
      <c r="BE17" s="225" t="e">
        <f t="shared" si="97"/>
        <v>#DIV/0!</v>
      </c>
      <c r="BF17" s="225" t="e">
        <f t="shared" si="98"/>
        <v>#DIV/0!</v>
      </c>
      <c r="BG17" s="225" t="e">
        <f t="shared" si="99"/>
        <v>#DIV/0!</v>
      </c>
      <c r="BH17" s="225" t="e">
        <f t="shared" si="100"/>
        <v>#DIV/0!</v>
      </c>
      <c r="BI17" s="225" t="e">
        <f t="shared" si="101"/>
        <v>#DIV/0!</v>
      </c>
      <c r="BJ17" s="226"/>
      <c r="BK17" s="307"/>
      <c r="BL17" s="307"/>
      <c r="BM17" s="307"/>
      <c r="BN17" s="307"/>
      <c r="BO17" s="307"/>
      <c r="BP17" s="307"/>
      <c r="BQ17" s="307"/>
      <c r="BR17" s="307"/>
      <c r="BS17" s="307"/>
      <c r="BT17" s="307"/>
      <c r="BU17" s="307"/>
      <c r="BV17" s="307"/>
      <c r="BW17" s="307"/>
      <c r="BX17" s="307"/>
      <c r="BY17" s="307"/>
      <c r="BZ17" s="307"/>
      <c r="CA17" s="307"/>
      <c r="CB17" s="307"/>
      <c r="CC17" s="307"/>
      <c r="CD17" s="307"/>
      <c r="CE17" s="307"/>
      <c r="CF17" s="307"/>
      <c r="CG17" s="307"/>
      <c r="CH17" s="307"/>
      <c r="CI17" s="307"/>
      <c r="CJ17" s="307"/>
      <c r="CK17" s="307"/>
      <c r="CL17" s="307"/>
      <c r="CM17" s="307"/>
      <c r="CN17" s="307"/>
      <c r="CO17" s="307"/>
      <c r="CP17" s="307"/>
      <c r="CQ17" s="307"/>
      <c r="CR17" s="307"/>
      <c r="CS17" s="307"/>
      <c r="CT17" s="307"/>
      <c r="CU17" s="307"/>
      <c r="CV17" s="307"/>
      <c r="CW17" s="307"/>
      <c r="CX17" s="307"/>
    </row>
    <row r="18" spans="1:102" s="229" customFormat="1" ht="22.5" hidden="1">
      <c r="A18" s="304">
        <f t="shared" si="102"/>
        <v>15</v>
      </c>
      <c r="B18" s="302"/>
      <c r="C18" s="371"/>
      <c r="D18" s="230"/>
      <c r="E18" s="231" t="s">
        <v>241</v>
      </c>
      <c r="F18" s="232"/>
      <c r="G18" s="305"/>
      <c r="H18" s="233" t="s">
        <v>106</v>
      </c>
      <c r="I18" s="306"/>
      <c r="J18" s="307"/>
      <c r="K18" s="307"/>
      <c r="L18" s="307"/>
      <c r="M18" s="307"/>
      <c r="N18" s="307"/>
      <c r="O18" s="216">
        <f t="shared" si="103"/>
        <v>0</v>
      </c>
      <c r="P18" s="307">
        <f t="shared" si="74"/>
        <v>0</v>
      </c>
      <c r="Q18" s="307"/>
      <c r="R18" s="307"/>
      <c r="S18" s="307"/>
      <c r="T18" s="216">
        <f t="shared" si="104"/>
        <v>0</v>
      </c>
      <c r="U18" s="217">
        <f t="shared" si="105"/>
        <v>0</v>
      </c>
      <c r="V18" s="217">
        <f t="shared" si="106"/>
        <v>0</v>
      </c>
      <c r="W18" s="307">
        <f t="shared" si="121"/>
        <v>0</v>
      </c>
      <c r="X18" s="215"/>
      <c r="Y18" s="215"/>
      <c r="Z18" s="307"/>
      <c r="AA18" s="217">
        <f t="shared" si="107"/>
        <v>0</v>
      </c>
      <c r="AB18" s="217">
        <f t="shared" si="108"/>
        <v>0</v>
      </c>
      <c r="AC18" s="217">
        <f t="shared" si="109"/>
        <v>0</v>
      </c>
      <c r="AD18" s="217">
        <f t="shared" si="110"/>
        <v>0</v>
      </c>
      <c r="AE18" s="217">
        <f t="shared" si="111"/>
        <v>0</v>
      </c>
      <c r="AF18" s="217">
        <f t="shared" si="112"/>
        <v>0</v>
      </c>
      <c r="AG18" s="217">
        <f t="shared" si="113"/>
        <v>0</v>
      </c>
      <c r="AH18" s="217">
        <f t="shared" si="114"/>
        <v>0</v>
      </c>
      <c r="AI18" s="217">
        <f t="shared" si="115"/>
        <v>0</v>
      </c>
      <c r="AJ18" s="217">
        <f t="shared" ref="AJ18:AJ24" si="129">SUM(AF18:AI18)</f>
        <v>0</v>
      </c>
      <c r="AK18" s="218">
        <f t="shared" si="128"/>
        <v>0</v>
      </c>
      <c r="AL18" s="218">
        <f t="shared" si="122"/>
        <v>0</v>
      </c>
      <c r="AM18" s="218">
        <f t="shared" ref="AM18:AM33" si="130">ROUND(18%*SUM(AK18,AL18),0)</f>
        <v>0</v>
      </c>
      <c r="AN18" s="218">
        <f t="shared" si="126"/>
        <v>0</v>
      </c>
      <c r="AO18" s="218">
        <f t="shared" si="127"/>
        <v>0</v>
      </c>
      <c r="AP18" s="219">
        <f t="shared" si="123"/>
        <v>0</v>
      </c>
      <c r="AQ18" s="308">
        <v>4</v>
      </c>
      <c r="AR18" s="308">
        <v>12</v>
      </c>
      <c r="AS18" s="220">
        <v>1</v>
      </c>
      <c r="AT18" s="220">
        <v>12</v>
      </c>
      <c r="AU18" s="221">
        <f t="shared" si="61"/>
        <v>43313</v>
      </c>
      <c r="AV18" s="221">
        <f t="shared" si="62"/>
        <v>43617</v>
      </c>
      <c r="AW18" s="222">
        <f t="shared" si="117"/>
        <v>5.7099999999999998E-2</v>
      </c>
      <c r="AX18" s="222">
        <f t="shared" si="118"/>
        <v>9.64E-2</v>
      </c>
      <c r="AY18" s="219">
        <f t="shared" si="124"/>
        <v>0</v>
      </c>
      <c r="AZ18" s="219">
        <f t="shared" si="125"/>
        <v>0</v>
      </c>
      <c r="BA18" s="309"/>
      <c r="BB18" s="310"/>
      <c r="BC18" s="223" t="e">
        <f t="shared" si="119"/>
        <v>#DIV/0!</v>
      </c>
      <c r="BD18" s="224"/>
      <c r="BE18" s="225" t="e">
        <f t="shared" si="97"/>
        <v>#DIV/0!</v>
      </c>
      <c r="BF18" s="225" t="e">
        <f t="shared" si="98"/>
        <v>#DIV/0!</v>
      </c>
      <c r="BG18" s="225" t="e">
        <f t="shared" si="99"/>
        <v>#DIV/0!</v>
      </c>
      <c r="BH18" s="225" t="e">
        <f t="shared" si="100"/>
        <v>#DIV/0!</v>
      </c>
      <c r="BI18" s="225" t="e">
        <f t="shared" si="101"/>
        <v>#DIV/0!</v>
      </c>
      <c r="BJ18" s="226"/>
      <c r="BK18" s="307"/>
      <c r="BL18" s="307"/>
      <c r="BM18" s="307"/>
      <c r="BN18" s="307"/>
      <c r="BO18" s="307"/>
      <c r="BP18" s="307"/>
      <c r="BQ18" s="307"/>
      <c r="BR18" s="307"/>
      <c r="BS18" s="307"/>
      <c r="BT18" s="307"/>
      <c r="BU18" s="307"/>
      <c r="BV18" s="307"/>
      <c r="BW18" s="307"/>
      <c r="BX18" s="307"/>
      <c r="BY18" s="307"/>
      <c r="BZ18" s="307"/>
      <c r="CA18" s="307"/>
      <c r="CB18" s="307"/>
      <c r="CC18" s="307"/>
      <c r="CD18" s="307"/>
      <c r="CE18" s="307"/>
      <c r="CF18" s="307"/>
      <c r="CG18" s="307"/>
      <c r="CH18" s="307"/>
      <c r="CI18" s="307"/>
      <c r="CJ18" s="307"/>
      <c r="CK18" s="307"/>
      <c r="CL18" s="307"/>
      <c r="CM18" s="307"/>
      <c r="CN18" s="307"/>
      <c r="CO18" s="307"/>
      <c r="CP18" s="307"/>
      <c r="CQ18" s="307"/>
      <c r="CR18" s="307"/>
      <c r="CS18" s="307"/>
      <c r="CT18" s="307"/>
      <c r="CU18" s="307"/>
      <c r="CV18" s="307"/>
      <c r="CW18" s="307"/>
      <c r="CX18" s="307"/>
    </row>
    <row r="19" spans="1:102" s="229" customFormat="1" ht="22.5" hidden="1">
      <c r="A19" s="304">
        <f t="shared" si="102"/>
        <v>16</v>
      </c>
      <c r="B19" s="302"/>
      <c r="C19" s="371"/>
      <c r="D19" s="230"/>
      <c r="E19" s="231" t="s">
        <v>241</v>
      </c>
      <c r="F19" s="232"/>
      <c r="G19" s="305"/>
      <c r="H19" s="233" t="s">
        <v>106</v>
      </c>
      <c r="I19" s="306"/>
      <c r="J19" s="307"/>
      <c r="K19" s="307"/>
      <c r="L19" s="307"/>
      <c r="M19" s="307"/>
      <c r="N19" s="307"/>
      <c r="O19" s="216">
        <f t="shared" si="103"/>
        <v>0</v>
      </c>
      <c r="P19" s="307">
        <f t="shared" si="74"/>
        <v>0</v>
      </c>
      <c r="Q19" s="307"/>
      <c r="R19" s="307"/>
      <c r="S19" s="307"/>
      <c r="T19" s="216">
        <f t="shared" si="104"/>
        <v>0</v>
      </c>
      <c r="U19" s="217">
        <f t="shared" si="105"/>
        <v>0</v>
      </c>
      <c r="V19" s="217">
        <f t="shared" si="106"/>
        <v>0</v>
      </c>
      <c r="W19" s="307">
        <f t="shared" si="121"/>
        <v>0</v>
      </c>
      <c r="X19" s="215"/>
      <c r="Y19" s="215"/>
      <c r="Z19" s="307"/>
      <c r="AA19" s="217">
        <f t="shared" si="107"/>
        <v>0</v>
      </c>
      <c r="AB19" s="217">
        <f t="shared" si="108"/>
        <v>0</v>
      </c>
      <c r="AC19" s="217">
        <f t="shared" si="109"/>
        <v>0</v>
      </c>
      <c r="AD19" s="217">
        <f t="shared" si="110"/>
        <v>0</v>
      </c>
      <c r="AE19" s="217">
        <f t="shared" si="111"/>
        <v>0</v>
      </c>
      <c r="AF19" s="217">
        <f t="shared" si="112"/>
        <v>0</v>
      </c>
      <c r="AG19" s="217">
        <f t="shared" si="113"/>
        <v>0</v>
      </c>
      <c r="AH19" s="217">
        <f t="shared" si="114"/>
        <v>0</v>
      </c>
      <c r="AI19" s="217">
        <f t="shared" si="115"/>
        <v>0</v>
      </c>
      <c r="AJ19" s="217">
        <f t="shared" si="129"/>
        <v>0</v>
      </c>
      <c r="AK19" s="218">
        <f t="shared" si="128"/>
        <v>0</v>
      </c>
      <c r="AL19" s="218">
        <f t="shared" si="122"/>
        <v>0</v>
      </c>
      <c r="AM19" s="218">
        <f t="shared" si="130"/>
        <v>0</v>
      </c>
      <c r="AN19" s="218">
        <f t="shared" si="126"/>
        <v>0</v>
      </c>
      <c r="AO19" s="218">
        <f t="shared" si="127"/>
        <v>0</v>
      </c>
      <c r="AP19" s="219">
        <f t="shared" si="123"/>
        <v>0</v>
      </c>
      <c r="AQ19" s="308">
        <v>4</v>
      </c>
      <c r="AR19" s="308">
        <v>12</v>
      </c>
      <c r="AS19" s="220">
        <v>1</v>
      </c>
      <c r="AT19" s="220">
        <v>12</v>
      </c>
      <c r="AU19" s="221">
        <f>DATE($AW$1,ROUNDDOWN(($AQ19+$AR19)/2,0),1)</f>
        <v>43313</v>
      </c>
      <c r="AV19" s="221">
        <f>DATE($AX$1,ROUNDDOWN(($AS19+$AT19)/2,0),1)</f>
        <v>43617</v>
      </c>
      <c r="AW19" s="222">
        <f t="shared" si="117"/>
        <v>5.7099999999999998E-2</v>
      </c>
      <c r="AX19" s="222">
        <f t="shared" si="118"/>
        <v>9.64E-2</v>
      </c>
      <c r="AY19" s="219">
        <f t="shared" si="124"/>
        <v>0</v>
      </c>
      <c r="AZ19" s="219">
        <f t="shared" si="125"/>
        <v>0</v>
      </c>
      <c r="BA19" s="309"/>
      <c r="BB19" s="310"/>
      <c r="BC19" s="223" t="e">
        <f t="shared" si="119"/>
        <v>#DIV/0!</v>
      </c>
      <c r="BD19" s="224"/>
      <c r="BE19" s="225" t="e">
        <f t="shared" si="97"/>
        <v>#DIV/0!</v>
      </c>
      <c r="BF19" s="225" t="e">
        <f t="shared" si="98"/>
        <v>#DIV/0!</v>
      </c>
      <c r="BG19" s="225" t="e">
        <f t="shared" si="99"/>
        <v>#DIV/0!</v>
      </c>
      <c r="BH19" s="225" t="e">
        <f t="shared" si="100"/>
        <v>#DIV/0!</v>
      </c>
      <c r="BI19" s="225" t="e">
        <f t="shared" si="101"/>
        <v>#DIV/0!</v>
      </c>
      <c r="BJ19" s="226"/>
      <c r="BK19" s="307"/>
      <c r="BL19" s="307"/>
      <c r="BM19" s="307"/>
      <c r="BN19" s="307"/>
      <c r="BO19" s="307"/>
      <c r="BP19" s="307"/>
      <c r="BQ19" s="307"/>
      <c r="BR19" s="307"/>
      <c r="BS19" s="307"/>
      <c r="BT19" s="307"/>
      <c r="BU19" s="307"/>
      <c r="BV19" s="307"/>
      <c r="BW19" s="307"/>
      <c r="BX19" s="307"/>
      <c r="BY19" s="307"/>
      <c r="BZ19" s="307"/>
      <c r="CA19" s="307"/>
      <c r="CB19" s="307"/>
      <c r="CC19" s="307"/>
      <c r="CD19" s="307"/>
      <c r="CE19" s="307"/>
      <c r="CF19" s="307"/>
      <c r="CG19" s="307"/>
      <c r="CH19" s="307"/>
      <c r="CI19" s="307"/>
      <c r="CJ19" s="307"/>
      <c r="CK19" s="307"/>
      <c r="CL19" s="307"/>
      <c r="CM19" s="307"/>
      <c r="CN19" s="307"/>
      <c r="CO19" s="307"/>
      <c r="CP19" s="307"/>
      <c r="CQ19" s="307"/>
      <c r="CR19" s="307"/>
      <c r="CS19" s="307"/>
      <c r="CT19" s="307"/>
      <c r="CU19" s="307"/>
      <c r="CV19" s="307"/>
      <c r="CW19" s="307"/>
      <c r="CX19" s="307"/>
    </row>
    <row r="20" spans="1:102" s="229" customFormat="1" ht="22.5" hidden="1">
      <c r="A20" s="304">
        <f t="shared" si="102"/>
        <v>17</v>
      </c>
      <c r="B20" s="302"/>
      <c r="C20" s="371"/>
      <c r="D20" s="230"/>
      <c r="E20" s="231" t="s">
        <v>241</v>
      </c>
      <c r="F20" s="232"/>
      <c r="G20" s="305"/>
      <c r="H20" s="233" t="s">
        <v>106</v>
      </c>
      <c r="I20" s="306"/>
      <c r="J20" s="307"/>
      <c r="K20" s="307"/>
      <c r="L20" s="307"/>
      <c r="M20" s="307"/>
      <c r="N20" s="307"/>
      <c r="O20" s="216">
        <f t="shared" si="103"/>
        <v>0</v>
      </c>
      <c r="P20" s="307">
        <f t="shared" si="74"/>
        <v>0</v>
      </c>
      <c r="Q20" s="307"/>
      <c r="R20" s="307"/>
      <c r="S20" s="307"/>
      <c r="T20" s="216">
        <f t="shared" si="104"/>
        <v>0</v>
      </c>
      <c r="U20" s="217">
        <f t="shared" si="105"/>
        <v>0</v>
      </c>
      <c r="V20" s="217">
        <f t="shared" si="106"/>
        <v>0</v>
      </c>
      <c r="W20" s="307">
        <f t="shared" si="121"/>
        <v>0</v>
      </c>
      <c r="X20" s="215"/>
      <c r="Y20" s="215"/>
      <c r="Z20" s="307"/>
      <c r="AA20" s="217">
        <f t="shared" si="107"/>
        <v>0</v>
      </c>
      <c r="AB20" s="217">
        <f t="shared" si="108"/>
        <v>0</v>
      </c>
      <c r="AC20" s="217">
        <f t="shared" si="109"/>
        <v>0</v>
      </c>
      <c r="AD20" s="217">
        <f t="shared" si="110"/>
        <v>0</v>
      </c>
      <c r="AE20" s="217">
        <f t="shared" si="111"/>
        <v>0</v>
      </c>
      <c r="AF20" s="217">
        <f t="shared" si="112"/>
        <v>0</v>
      </c>
      <c r="AG20" s="217">
        <f t="shared" si="113"/>
        <v>0</v>
      </c>
      <c r="AH20" s="217">
        <f t="shared" si="114"/>
        <v>0</v>
      </c>
      <c r="AI20" s="217">
        <f t="shared" si="115"/>
        <v>0</v>
      </c>
      <c r="AJ20" s="217">
        <f t="shared" si="129"/>
        <v>0</v>
      </c>
      <c r="AK20" s="218">
        <f t="shared" si="128"/>
        <v>0</v>
      </c>
      <c r="AL20" s="218">
        <f t="shared" si="122"/>
        <v>0</v>
      </c>
      <c r="AM20" s="218">
        <f t="shared" si="130"/>
        <v>0</v>
      </c>
      <c r="AN20" s="218">
        <f t="shared" si="126"/>
        <v>0</v>
      </c>
      <c r="AO20" s="218">
        <f t="shared" si="127"/>
        <v>0</v>
      </c>
      <c r="AP20" s="219">
        <f t="shared" si="123"/>
        <v>0</v>
      </c>
      <c r="AQ20" s="308">
        <v>4</v>
      </c>
      <c r="AR20" s="308">
        <v>12</v>
      </c>
      <c r="AS20" s="220">
        <v>1</v>
      </c>
      <c r="AT20" s="220">
        <v>12</v>
      </c>
      <c r="AU20" s="221">
        <f t="shared" si="61"/>
        <v>43313</v>
      </c>
      <c r="AV20" s="221">
        <f t="shared" si="62"/>
        <v>43617</v>
      </c>
      <c r="AW20" s="222">
        <f t="shared" si="117"/>
        <v>5.7099999999999998E-2</v>
      </c>
      <c r="AX20" s="222">
        <f t="shared" si="118"/>
        <v>9.64E-2</v>
      </c>
      <c r="AY20" s="219">
        <f t="shared" si="124"/>
        <v>0</v>
      </c>
      <c r="AZ20" s="219">
        <f t="shared" si="125"/>
        <v>0</v>
      </c>
      <c r="BA20" s="309"/>
      <c r="BB20" s="310"/>
      <c r="BC20" s="223" t="e">
        <f t="shared" si="119"/>
        <v>#DIV/0!</v>
      </c>
      <c r="BD20" s="224"/>
      <c r="BE20" s="225" t="e">
        <f t="shared" si="97"/>
        <v>#DIV/0!</v>
      </c>
      <c r="BF20" s="225" t="e">
        <f t="shared" si="98"/>
        <v>#DIV/0!</v>
      </c>
      <c r="BG20" s="225" t="e">
        <f t="shared" si="99"/>
        <v>#DIV/0!</v>
      </c>
      <c r="BH20" s="225" t="e">
        <f t="shared" si="100"/>
        <v>#DIV/0!</v>
      </c>
      <c r="BI20" s="225" t="e">
        <f t="shared" si="101"/>
        <v>#DIV/0!</v>
      </c>
      <c r="BJ20" s="226"/>
      <c r="BK20" s="307"/>
      <c r="BL20" s="307"/>
      <c r="BM20" s="307"/>
      <c r="BN20" s="307"/>
      <c r="BO20" s="307"/>
      <c r="BP20" s="307"/>
      <c r="BQ20" s="307"/>
      <c r="BR20" s="307"/>
      <c r="BS20" s="307"/>
      <c r="BT20" s="307"/>
      <c r="BU20" s="307"/>
      <c r="BV20" s="307"/>
      <c r="BW20" s="307"/>
      <c r="BX20" s="307"/>
      <c r="BY20" s="307"/>
      <c r="BZ20" s="307"/>
      <c r="CA20" s="307"/>
      <c r="CB20" s="307"/>
      <c r="CC20" s="307"/>
      <c r="CD20" s="307"/>
      <c r="CE20" s="307"/>
      <c r="CF20" s="307"/>
      <c r="CG20" s="307"/>
      <c r="CH20" s="307"/>
      <c r="CI20" s="307"/>
      <c r="CJ20" s="307"/>
      <c r="CK20" s="307"/>
      <c r="CL20" s="307"/>
      <c r="CM20" s="307"/>
      <c r="CN20" s="307"/>
      <c r="CO20" s="307"/>
      <c r="CP20" s="307"/>
      <c r="CQ20" s="307"/>
      <c r="CR20" s="307"/>
      <c r="CS20" s="307"/>
      <c r="CT20" s="307"/>
      <c r="CU20" s="307"/>
      <c r="CV20" s="307"/>
      <c r="CW20" s="307"/>
      <c r="CX20" s="307"/>
    </row>
    <row r="21" spans="1:102" s="229" customFormat="1" ht="22.5" hidden="1">
      <c r="A21" s="304">
        <f t="shared" si="102"/>
        <v>18</v>
      </c>
      <c r="B21" s="302"/>
      <c r="C21" s="371"/>
      <c r="D21" s="230"/>
      <c r="E21" s="231" t="s">
        <v>241</v>
      </c>
      <c r="F21" s="232"/>
      <c r="G21" s="305"/>
      <c r="H21" s="233" t="s">
        <v>106</v>
      </c>
      <c r="I21" s="306"/>
      <c r="J21" s="307"/>
      <c r="K21" s="307"/>
      <c r="L21" s="307"/>
      <c r="M21" s="307"/>
      <c r="N21" s="307"/>
      <c r="O21" s="216">
        <f t="shared" si="103"/>
        <v>0</v>
      </c>
      <c r="P21" s="307">
        <f t="shared" si="74"/>
        <v>0</v>
      </c>
      <c r="Q21" s="307"/>
      <c r="R21" s="307"/>
      <c r="S21" s="307"/>
      <c r="T21" s="216">
        <f t="shared" si="104"/>
        <v>0</v>
      </c>
      <c r="U21" s="217">
        <f t="shared" si="105"/>
        <v>0</v>
      </c>
      <c r="V21" s="217">
        <f t="shared" si="106"/>
        <v>0</v>
      </c>
      <c r="W21" s="307">
        <f t="shared" si="121"/>
        <v>0</v>
      </c>
      <c r="X21" s="215"/>
      <c r="Y21" s="215"/>
      <c r="Z21" s="307"/>
      <c r="AA21" s="217">
        <f t="shared" si="107"/>
        <v>0</v>
      </c>
      <c r="AB21" s="217">
        <f t="shared" si="108"/>
        <v>0</v>
      </c>
      <c r="AC21" s="217">
        <f t="shared" si="109"/>
        <v>0</v>
      </c>
      <c r="AD21" s="217">
        <f t="shared" si="110"/>
        <v>0</v>
      </c>
      <c r="AE21" s="217">
        <f t="shared" si="111"/>
        <v>0</v>
      </c>
      <c r="AF21" s="217">
        <f t="shared" si="112"/>
        <v>0</v>
      </c>
      <c r="AG21" s="217">
        <f t="shared" si="113"/>
        <v>0</v>
      </c>
      <c r="AH21" s="217">
        <f t="shared" si="114"/>
        <v>0</v>
      </c>
      <c r="AI21" s="217">
        <f t="shared" si="115"/>
        <v>0</v>
      </c>
      <c r="AJ21" s="217">
        <f t="shared" si="129"/>
        <v>0</v>
      </c>
      <c r="AK21" s="218">
        <f t="shared" si="128"/>
        <v>0</v>
      </c>
      <c r="AL21" s="218">
        <f t="shared" si="122"/>
        <v>0</v>
      </c>
      <c r="AM21" s="218">
        <f t="shared" si="130"/>
        <v>0</v>
      </c>
      <c r="AN21" s="218">
        <f t="shared" si="126"/>
        <v>0</v>
      </c>
      <c r="AO21" s="218">
        <f t="shared" si="127"/>
        <v>0</v>
      </c>
      <c r="AP21" s="219">
        <f t="shared" si="123"/>
        <v>0</v>
      </c>
      <c r="AQ21" s="308">
        <v>4</v>
      </c>
      <c r="AR21" s="308">
        <v>12</v>
      </c>
      <c r="AS21" s="220">
        <v>1</v>
      </c>
      <c r="AT21" s="220">
        <v>12</v>
      </c>
      <c r="AU21" s="221">
        <f t="shared" si="61"/>
        <v>43313</v>
      </c>
      <c r="AV21" s="221">
        <f t="shared" si="62"/>
        <v>43617</v>
      </c>
      <c r="AW21" s="222">
        <f t="shared" si="117"/>
        <v>5.7099999999999998E-2</v>
      </c>
      <c r="AX21" s="222">
        <f t="shared" si="118"/>
        <v>9.64E-2</v>
      </c>
      <c r="AY21" s="219">
        <f t="shared" si="124"/>
        <v>0</v>
      </c>
      <c r="AZ21" s="219">
        <f t="shared" si="125"/>
        <v>0</v>
      </c>
      <c r="BA21" s="309"/>
      <c r="BB21" s="310"/>
      <c r="BC21" s="223" t="e">
        <f t="shared" si="119"/>
        <v>#DIV/0!</v>
      </c>
      <c r="BD21" s="224"/>
      <c r="BE21" s="225" t="e">
        <f t="shared" si="97"/>
        <v>#DIV/0!</v>
      </c>
      <c r="BF21" s="225" t="e">
        <f t="shared" si="98"/>
        <v>#DIV/0!</v>
      </c>
      <c r="BG21" s="225" t="e">
        <f t="shared" si="99"/>
        <v>#DIV/0!</v>
      </c>
      <c r="BH21" s="225" t="e">
        <f t="shared" si="100"/>
        <v>#DIV/0!</v>
      </c>
      <c r="BI21" s="225" t="e">
        <f t="shared" si="101"/>
        <v>#DIV/0!</v>
      </c>
      <c r="BJ21" s="226"/>
      <c r="BK21" s="307"/>
      <c r="BL21" s="307"/>
      <c r="BM21" s="307"/>
      <c r="BN21" s="307"/>
      <c r="BO21" s="307"/>
      <c r="BP21" s="307"/>
      <c r="BQ21" s="307"/>
      <c r="BR21" s="307"/>
      <c r="BS21" s="307"/>
      <c r="BT21" s="307"/>
      <c r="BU21" s="307"/>
      <c r="BV21" s="307"/>
      <c r="BW21" s="307"/>
      <c r="BX21" s="307"/>
      <c r="BY21" s="307"/>
      <c r="BZ21" s="307"/>
      <c r="CA21" s="307"/>
      <c r="CB21" s="307"/>
      <c r="CC21" s="307"/>
      <c r="CD21" s="307"/>
      <c r="CE21" s="307"/>
      <c r="CF21" s="307"/>
      <c r="CG21" s="307"/>
      <c r="CH21" s="307"/>
      <c r="CI21" s="307"/>
      <c r="CJ21" s="307"/>
      <c r="CK21" s="307"/>
      <c r="CL21" s="307"/>
      <c r="CM21" s="307"/>
      <c r="CN21" s="307"/>
      <c r="CO21" s="307"/>
      <c r="CP21" s="307"/>
      <c r="CQ21" s="307"/>
      <c r="CR21" s="307"/>
      <c r="CS21" s="307"/>
      <c r="CT21" s="307"/>
      <c r="CU21" s="307"/>
      <c r="CV21" s="307"/>
      <c r="CW21" s="307"/>
      <c r="CX21" s="307"/>
    </row>
    <row r="22" spans="1:102" s="229" customFormat="1" ht="22.5" hidden="1">
      <c r="A22" s="304">
        <f t="shared" si="102"/>
        <v>19</v>
      </c>
      <c r="B22" s="302"/>
      <c r="C22" s="371"/>
      <c r="D22" s="230"/>
      <c r="E22" s="231" t="s">
        <v>241</v>
      </c>
      <c r="F22" s="232"/>
      <c r="G22" s="305"/>
      <c r="H22" s="233" t="s">
        <v>106</v>
      </c>
      <c r="I22" s="306"/>
      <c r="J22" s="307"/>
      <c r="K22" s="307"/>
      <c r="L22" s="307"/>
      <c r="M22" s="307"/>
      <c r="N22" s="307"/>
      <c r="O22" s="216">
        <f t="shared" si="103"/>
        <v>0</v>
      </c>
      <c r="P22" s="307">
        <f t="shared" si="74"/>
        <v>0</v>
      </c>
      <c r="Q22" s="307"/>
      <c r="R22" s="307"/>
      <c r="S22" s="307"/>
      <c r="T22" s="216">
        <f t="shared" si="104"/>
        <v>0</v>
      </c>
      <c r="U22" s="217">
        <f t="shared" si="105"/>
        <v>0</v>
      </c>
      <c r="V22" s="217">
        <f t="shared" si="106"/>
        <v>0</v>
      </c>
      <c r="W22" s="307">
        <f t="shared" si="121"/>
        <v>0</v>
      </c>
      <c r="X22" s="215"/>
      <c r="Y22" s="215"/>
      <c r="Z22" s="307"/>
      <c r="AA22" s="217">
        <f t="shared" si="107"/>
        <v>0</v>
      </c>
      <c r="AB22" s="217">
        <f t="shared" si="108"/>
        <v>0</v>
      </c>
      <c r="AC22" s="217">
        <f t="shared" si="109"/>
        <v>0</v>
      </c>
      <c r="AD22" s="217">
        <f t="shared" si="110"/>
        <v>0</v>
      </c>
      <c r="AE22" s="217">
        <f t="shared" si="111"/>
        <v>0</v>
      </c>
      <c r="AF22" s="217">
        <f t="shared" si="112"/>
        <v>0</v>
      </c>
      <c r="AG22" s="217">
        <f t="shared" si="113"/>
        <v>0</v>
      </c>
      <c r="AH22" s="217">
        <f t="shared" si="114"/>
        <v>0</v>
      </c>
      <c r="AI22" s="217">
        <f t="shared" si="115"/>
        <v>0</v>
      </c>
      <c r="AJ22" s="217">
        <f t="shared" si="129"/>
        <v>0</v>
      </c>
      <c r="AK22" s="218">
        <f t="shared" si="128"/>
        <v>0</v>
      </c>
      <c r="AL22" s="218">
        <f t="shared" si="122"/>
        <v>0</v>
      </c>
      <c r="AM22" s="218">
        <f t="shared" si="130"/>
        <v>0</v>
      </c>
      <c r="AN22" s="218">
        <f t="shared" si="126"/>
        <v>0</v>
      </c>
      <c r="AO22" s="218">
        <f t="shared" si="127"/>
        <v>0</v>
      </c>
      <c r="AP22" s="219">
        <f t="shared" si="123"/>
        <v>0</v>
      </c>
      <c r="AQ22" s="308">
        <v>4</v>
      </c>
      <c r="AR22" s="308">
        <v>12</v>
      </c>
      <c r="AS22" s="220">
        <v>1</v>
      </c>
      <c r="AT22" s="220">
        <v>12</v>
      </c>
      <c r="AU22" s="221">
        <f t="shared" si="61"/>
        <v>43313</v>
      </c>
      <c r="AV22" s="221">
        <f t="shared" si="62"/>
        <v>43617</v>
      </c>
      <c r="AW22" s="222">
        <f t="shared" si="117"/>
        <v>5.7099999999999998E-2</v>
      </c>
      <c r="AX22" s="222">
        <f t="shared" si="118"/>
        <v>9.64E-2</v>
      </c>
      <c r="AY22" s="219">
        <f t="shared" si="124"/>
        <v>0</v>
      </c>
      <c r="AZ22" s="219">
        <f t="shared" si="125"/>
        <v>0</v>
      </c>
      <c r="BA22" s="309"/>
      <c r="BB22" s="310"/>
      <c r="BC22" s="223" t="e">
        <f t="shared" si="119"/>
        <v>#DIV/0!</v>
      </c>
      <c r="BD22" s="224"/>
      <c r="BE22" s="225" t="e">
        <f t="shared" si="97"/>
        <v>#DIV/0!</v>
      </c>
      <c r="BF22" s="225" t="e">
        <f t="shared" si="98"/>
        <v>#DIV/0!</v>
      </c>
      <c r="BG22" s="225" t="e">
        <f t="shared" si="99"/>
        <v>#DIV/0!</v>
      </c>
      <c r="BH22" s="225" t="e">
        <f t="shared" si="100"/>
        <v>#DIV/0!</v>
      </c>
      <c r="BI22" s="225" t="e">
        <f t="shared" si="101"/>
        <v>#DIV/0!</v>
      </c>
      <c r="BJ22" s="226"/>
      <c r="BK22" s="307"/>
      <c r="BL22" s="307"/>
      <c r="BM22" s="307"/>
      <c r="BN22" s="307"/>
      <c r="BO22" s="307"/>
      <c r="BP22" s="307"/>
      <c r="BQ22" s="307"/>
      <c r="BR22" s="307"/>
      <c r="BS22" s="307"/>
      <c r="BT22" s="307"/>
      <c r="BU22" s="307"/>
      <c r="BV22" s="307"/>
      <c r="BW22" s="307"/>
      <c r="BX22" s="307"/>
      <c r="BY22" s="307"/>
      <c r="BZ22" s="307"/>
      <c r="CA22" s="307"/>
      <c r="CB22" s="307"/>
      <c r="CC22" s="307"/>
      <c r="CD22" s="307"/>
      <c r="CE22" s="307"/>
      <c r="CF22" s="307"/>
      <c r="CG22" s="307"/>
      <c r="CH22" s="307"/>
      <c r="CI22" s="307"/>
      <c r="CJ22" s="307"/>
      <c r="CK22" s="307"/>
      <c r="CL22" s="307"/>
      <c r="CM22" s="307"/>
      <c r="CN22" s="307"/>
      <c r="CO22" s="307"/>
      <c r="CP22" s="307"/>
      <c r="CQ22" s="307"/>
      <c r="CR22" s="307"/>
      <c r="CS22" s="307"/>
      <c r="CT22" s="307"/>
      <c r="CU22" s="307"/>
      <c r="CV22" s="307"/>
      <c r="CW22" s="307"/>
      <c r="CX22" s="307"/>
    </row>
    <row r="23" spans="1:102" s="229" customFormat="1" ht="22.5" hidden="1">
      <c r="A23" s="304">
        <f t="shared" si="102"/>
        <v>20</v>
      </c>
      <c r="B23" s="302"/>
      <c r="C23" s="371"/>
      <c r="D23" s="230"/>
      <c r="E23" s="231" t="s">
        <v>241</v>
      </c>
      <c r="F23" s="232"/>
      <c r="G23" s="305"/>
      <c r="H23" s="233" t="s">
        <v>106</v>
      </c>
      <c r="I23" s="306"/>
      <c r="J23" s="307"/>
      <c r="K23" s="307"/>
      <c r="L23" s="307"/>
      <c r="M23" s="307"/>
      <c r="N23" s="307"/>
      <c r="O23" s="216">
        <f t="shared" si="103"/>
        <v>0</v>
      </c>
      <c r="P23" s="307">
        <f t="shared" si="74"/>
        <v>0</v>
      </c>
      <c r="Q23" s="307"/>
      <c r="R23" s="307"/>
      <c r="S23" s="307"/>
      <c r="T23" s="216">
        <f t="shared" si="104"/>
        <v>0</v>
      </c>
      <c r="U23" s="217">
        <f t="shared" si="105"/>
        <v>0</v>
      </c>
      <c r="V23" s="217">
        <f t="shared" si="106"/>
        <v>0</v>
      </c>
      <c r="W23" s="307">
        <f t="shared" si="121"/>
        <v>0</v>
      </c>
      <c r="X23" s="215"/>
      <c r="Y23" s="215"/>
      <c r="Z23" s="307"/>
      <c r="AA23" s="217">
        <f t="shared" si="107"/>
        <v>0</v>
      </c>
      <c r="AB23" s="217">
        <f t="shared" si="108"/>
        <v>0</v>
      </c>
      <c r="AC23" s="217">
        <f t="shared" si="109"/>
        <v>0</v>
      </c>
      <c r="AD23" s="217">
        <f t="shared" si="110"/>
        <v>0</v>
      </c>
      <c r="AE23" s="217">
        <f t="shared" si="111"/>
        <v>0</v>
      </c>
      <c r="AF23" s="217">
        <f t="shared" si="112"/>
        <v>0</v>
      </c>
      <c r="AG23" s="217">
        <f t="shared" si="113"/>
        <v>0</v>
      </c>
      <c r="AH23" s="217">
        <f t="shared" si="114"/>
        <v>0</v>
      </c>
      <c r="AI23" s="217">
        <f t="shared" si="115"/>
        <v>0</v>
      </c>
      <c r="AJ23" s="217">
        <f t="shared" si="129"/>
        <v>0</v>
      </c>
      <c r="AK23" s="218">
        <f t="shared" si="128"/>
        <v>0</v>
      </c>
      <c r="AL23" s="218">
        <f t="shared" si="122"/>
        <v>0</v>
      </c>
      <c r="AM23" s="218">
        <f t="shared" si="130"/>
        <v>0</v>
      </c>
      <c r="AN23" s="218">
        <f t="shared" si="126"/>
        <v>0</v>
      </c>
      <c r="AO23" s="218">
        <f t="shared" si="127"/>
        <v>0</v>
      </c>
      <c r="AP23" s="219">
        <f t="shared" si="123"/>
        <v>0</v>
      </c>
      <c r="AQ23" s="308">
        <v>4</v>
      </c>
      <c r="AR23" s="308">
        <v>12</v>
      </c>
      <c r="AS23" s="220">
        <v>1</v>
      </c>
      <c r="AT23" s="220">
        <v>12</v>
      </c>
      <c r="AU23" s="221">
        <f t="shared" si="61"/>
        <v>43313</v>
      </c>
      <c r="AV23" s="221">
        <f t="shared" si="62"/>
        <v>43617</v>
      </c>
      <c r="AW23" s="222">
        <f t="shared" si="117"/>
        <v>5.7099999999999998E-2</v>
      </c>
      <c r="AX23" s="222">
        <f t="shared" si="118"/>
        <v>9.64E-2</v>
      </c>
      <c r="AY23" s="219">
        <f t="shared" si="124"/>
        <v>0</v>
      </c>
      <c r="AZ23" s="219">
        <f t="shared" si="125"/>
        <v>0</v>
      </c>
      <c r="BA23" s="309"/>
      <c r="BB23" s="310"/>
      <c r="BC23" s="223" t="e">
        <f t="shared" si="119"/>
        <v>#DIV/0!</v>
      </c>
      <c r="BD23" s="224"/>
      <c r="BE23" s="225" t="e">
        <f t="shared" si="97"/>
        <v>#DIV/0!</v>
      </c>
      <c r="BF23" s="225" t="e">
        <f t="shared" si="98"/>
        <v>#DIV/0!</v>
      </c>
      <c r="BG23" s="225" t="e">
        <f t="shared" si="99"/>
        <v>#DIV/0!</v>
      </c>
      <c r="BH23" s="225" t="e">
        <f t="shared" si="100"/>
        <v>#DIV/0!</v>
      </c>
      <c r="BI23" s="225" t="e">
        <f t="shared" si="101"/>
        <v>#DIV/0!</v>
      </c>
      <c r="BJ23" s="226"/>
      <c r="BK23" s="307"/>
      <c r="BL23" s="307"/>
      <c r="BM23" s="307"/>
      <c r="BN23" s="307"/>
      <c r="BO23" s="307"/>
      <c r="BP23" s="307"/>
      <c r="BQ23" s="307"/>
      <c r="BR23" s="307"/>
      <c r="BS23" s="307"/>
      <c r="BT23" s="307"/>
      <c r="BU23" s="307"/>
      <c r="BV23" s="307"/>
      <c r="BW23" s="307"/>
      <c r="BX23" s="307"/>
      <c r="BY23" s="307"/>
      <c r="BZ23" s="307"/>
      <c r="CA23" s="307"/>
      <c r="CB23" s="307"/>
      <c r="CC23" s="307"/>
      <c r="CD23" s="307"/>
      <c r="CE23" s="307"/>
      <c r="CF23" s="307"/>
      <c r="CG23" s="307"/>
      <c r="CH23" s="307"/>
      <c r="CI23" s="307"/>
      <c r="CJ23" s="307"/>
      <c r="CK23" s="307"/>
      <c r="CL23" s="307"/>
      <c r="CM23" s="307"/>
      <c r="CN23" s="307"/>
      <c r="CO23" s="307"/>
      <c r="CP23" s="307"/>
      <c r="CQ23" s="307"/>
      <c r="CR23" s="307"/>
      <c r="CS23" s="307"/>
      <c r="CT23" s="307"/>
      <c r="CU23" s="307"/>
      <c r="CV23" s="307"/>
      <c r="CW23" s="307"/>
      <c r="CX23" s="307"/>
    </row>
    <row r="24" spans="1:102" s="229" customFormat="1" ht="22.5" hidden="1">
      <c r="A24" s="304">
        <f t="shared" si="102"/>
        <v>21</v>
      </c>
      <c r="B24" s="302"/>
      <c r="C24" s="371"/>
      <c r="D24" s="230"/>
      <c r="E24" s="231" t="s">
        <v>241</v>
      </c>
      <c r="F24" s="232"/>
      <c r="G24" s="305"/>
      <c r="H24" s="233" t="s">
        <v>106</v>
      </c>
      <c r="I24" s="306"/>
      <c r="J24" s="307"/>
      <c r="K24" s="307"/>
      <c r="L24" s="307"/>
      <c r="M24" s="307"/>
      <c r="N24" s="307"/>
      <c r="O24" s="216">
        <f t="shared" si="103"/>
        <v>0</v>
      </c>
      <c r="P24" s="307">
        <f t="shared" si="74"/>
        <v>0</v>
      </c>
      <c r="Q24" s="307"/>
      <c r="R24" s="307"/>
      <c r="S24" s="307"/>
      <c r="T24" s="216">
        <f t="shared" si="104"/>
        <v>0</v>
      </c>
      <c r="U24" s="217">
        <f t="shared" si="105"/>
        <v>0</v>
      </c>
      <c r="V24" s="217">
        <f t="shared" si="106"/>
        <v>0</v>
      </c>
      <c r="W24" s="307">
        <f t="shared" si="121"/>
        <v>0</v>
      </c>
      <c r="X24" s="215"/>
      <c r="Y24" s="215"/>
      <c r="Z24" s="307"/>
      <c r="AA24" s="217">
        <f t="shared" si="107"/>
        <v>0</v>
      </c>
      <c r="AB24" s="217">
        <f t="shared" si="108"/>
        <v>0</v>
      </c>
      <c r="AC24" s="217">
        <f t="shared" si="109"/>
        <v>0</v>
      </c>
      <c r="AD24" s="217">
        <f t="shared" si="110"/>
        <v>0</v>
      </c>
      <c r="AE24" s="217">
        <f t="shared" si="111"/>
        <v>0</v>
      </c>
      <c r="AF24" s="217">
        <f t="shared" si="112"/>
        <v>0</v>
      </c>
      <c r="AG24" s="217">
        <f t="shared" si="113"/>
        <v>0</v>
      </c>
      <c r="AH24" s="217">
        <f t="shared" si="114"/>
        <v>0</v>
      </c>
      <c r="AI24" s="217">
        <f t="shared" si="115"/>
        <v>0</v>
      </c>
      <c r="AJ24" s="217">
        <f t="shared" si="129"/>
        <v>0</v>
      </c>
      <c r="AK24" s="218">
        <f t="shared" si="128"/>
        <v>0</v>
      </c>
      <c r="AL24" s="218">
        <f t="shared" si="122"/>
        <v>0</v>
      </c>
      <c r="AM24" s="218">
        <f t="shared" si="130"/>
        <v>0</v>
      </c>
      <c r="AN24" s="218">
        <f t="shared" si="126"/>
        <v>0</v>
      </c>
      <c r="AO24" s="218">
        <f t="shared" si="127"/>
        <v>0</v>
      </c>
      <c r="AP24" s="219">
        <f t="shared" si="123"/>
        <v>0</v>
      </c>
      <c r="AQ24" s="308">
        <v>4</v>
      </c>
      <c r="AR24" s="308">
        <v>12</v>
      </c>
      <c r="AS24" s="220">
        <v>1</v>
      </c>
      <c r="AT24" s="220">
        <v>12</v>
      </c>
      <c r="AU24" s="221">
        <f t="shared" si="61"/>
        <v>43313</v>
      </c>
      <c r="AV24" s="221">
        <f t="shared" si="62"/>
        <v>43617</v>
      </c>
      <c r="AW24" s="222">
        <f t="shared" si="117"/>
        <v>5.7099999999999998E-2</v>
      </c>
      <c r="AX24" s="222">
        <f t="shared" si="118"/>
        <v>9.64E-2</v>
      </c>
      <c r="AY24" s="219">
        <f t="shared" si="124"/>
        <v>0</v>
      </c>
      <c r="AZ24" s="219">
        <f t="shared" si="125"/>
        <v>0</v>
      </c>
      <c r="BA24" s="309"/>
      <c r="BB24" s="310"/>
      <c r="BC24" s="223" t="e">
        <f t="shared" si="119"/>
        <v>#DIV/0!</v>
      </c>
      <c r="BD24" s="224"/>
      <c r="BE24" s="225" t="e">
        <f t="shared" ref="BE24:BE47" si="131">J24/$AP24</f>
        <v>#DIV/0!</v>
      </c>
      <c r="BF24" s="225" t="e">
        <f t="shared" ref="BF24:BF47" si="132">K24/$AP24</f>
        <v>#DIV/0!</v>
      </c>
      <c r="BG24" s="225" t="e">
        <f t="shared" ref="BG24:BG47" si="133">L24/$AP24</f>
        <v>#DIV/0!</v>
      </c>
      <c r="BH24" s="225" t="e">
        <f t="shared" ref="BH24:BH47" si="134">M24/$AP24</f>
        <v>#DIV/0!</v>
      </c>
      <c r="BI24" s="225" t="e">
        <f t="shared" ref="BI24:BI47" si="135">N24/$AP24</f>
        <v>#DIV/0!</v>
      </c>
      <c r="BJ24" s="226"/>
      <c r="BK24" s="307"/>
      <c r="BL24" s="307"/>
      <c r="BM24" s="307"/>
      <c r="BN24" s="307"/>
      <c r="BO24" s="307"/>
      <c r="BP24" s="307"/>
      <c r="BQ24" s="307"/>
      <c r="BR24" s="307"/>
      <c r="BS24" s="307"/>
      <c r="BT24" s="307"/>
      <c r="BU24" s="307"/>
      <c r="BV24" s="307"/>
      <c r="BW24" s="307"/>
      <c r="BX24" s="307"/>
      <c r="BY24" s="307"/>
      <c r="BZ24" s="307"/>
      <c r="CA24" s="307"/>
      <c r="CB24" s="307"/>
      <c r="CC24" s="307"/>
      <c r="CD24" s="307"/>
      <c r="CE24" s="307"/>
      <c r="CF24" s="307"/>
      <c r="CG24" s="307"/>
      <c r="CH24" s="307"/>
      <c r="CI24" s="307"/>
      <c r="CJ24" s="307"/>
      <c r="CK24" s="307"/>
      <c r="CL24" s="307"/>
      <c r="CM24" s="307"/>
      <c r="CN24" s="307"/>
      <c r="CO24" s="307"/>
      <c r="CP24" s="307"/>
      <c r="CQ24" s="307"/>
      <c r="CR24" s="307"/>
      <c r="CS24" s="307"/>
      <c r="CT24" s="307"/>
      <c r="CU24" s="307"/>
      <c r="CV24" s="307"/>
      <c r="CW24" s="307"/>
      <c r="CX24" s="307"/>
    </row>
    <row r="25" spans="1:102" s="229" customFormat="1" ht="22.5" hidden="1">
      <c r="A25" s="304">
        <f t="shared" si="102"/>
        <v>22</v>
      </c>
      <c r="B25" s="302"/>
      <c r="C25" s="371"/>
      <c r="D25" s="230"/>
      <c r="E25" s="231" t="s">
        <v>241</v>
      </c>
      <c r="F25" s="232"/>
      <c r="G25" s="305"/>
      <c r="H25" s="233" t="s">
        <v>106</v>
      </c>
      <c r="I25" s="306"/>
      <c r="J25" s="307"/>
      <c r="K25" s="307"/>
      <c r="L25" s="307"/>
      <c r="M25" s="307"/>
      <c r="N25" s="307"/>
      <c r="O25" s="216">
        <f t="shared" si="103"/>
        <v>0</v>
      </c>
      <c r="P25" s="307">
        <f t="shared" si="74"/>
        <v>0</v>
      </c>
      <c r="Q25" s="307"/>
      <c r="R25" s="307"/>
      <c r="S25" s="307"/>
      <c r="T25" s="216">
        <f t="shared" si="104"/>
        <v>0</v>
      </c>
      <c r="U25" s="217">
        <f t="shared" si="105"/>
        <v>0</v>
      </c>
      <c r="V25" s="217">
        <f t="shared" si="106"/>
        <v>0</v>
      </c>
      <c r="W25" s="307">
        <f t="shared" si="121"/>
        <v>0</v>
      </c>
      <c r="X25" s="215"/>
      <c r="Y25" s="215"/>
      <c r="Z25" s="307"/>
      <c r="AA25" s="217">
        <f t="shared" si="107"/>
        <v>0</v>
      </c>
      <c r="AB25" s="217">
        <f t="shared" si="108"/>
        <v>0</v>
      </c>
      <c r="AC25" s="217">
        <f t="shared" si="109"/>
        <v>0</v>
      </c>
      <c r="AD25" s="217">
        <f t="shared" si="110"/>
        <v>0</v>
      </c>
      <c r="AE25" s="217">
        <f t="shared" si="111"/>
        <v>0</v>
      </c>
      <c r="AF25" s="217">
        <f t="shared" si="112"/>
        <v>0</v>
      </c>
      <c r="AG25" s="217">
        <f t="shared" si="113"/>
        <v>0</v>
      </c>
      <c r="AH25" s="217">
        <f t="shared" si="114"/>
        <v>0</v>
      </c>
      <c r="AI25" s="217">
        <f t="shared" si="115"/>
        <v>0</v>
      </c>
      <c r="AJ25" s="217">
        <f t="shared" ref="AJ25:AJ33" si="136">SUM(AF25:AI25)</f>
        <v>0</v>
      </c>
      <c r="AK25" s="218">
        <f t="shared" si="128"/>
        <v>0</v>
      </c>
      <c r="AL25" s="218">
        <f t="shared" si="122"/>
        <v>0</v>
      </c>
      <c r="AM25" s="218">
        <f t="shared" si="130"/>
        <v>0</v>
      </c>
      <c r="AN25" s="218">
        <f t="shared" si="126"/>
        <v>0</v>
      </c>
      <c r="AO25" s="218">
        <f t="shared" si="127"/>
        <v>0</v>
      </c>
      <c r="AP25" s="219">
        <f t="shared" si="123"/>
        <v>0</v>
      </c>
      <c r="AQ25" s="308">
        <v>4</v>
      </c>
      <c r="AR25" s="308">
        <v>12</v>
      </c>
      <c r="AS25" s="220">
        <v>1</v>
      </c>
      <c r="AT25" s="220">
        <v>12</v>
      </c>
      <c r="AU25" s="221">
        <f t="shared" si="61"/>
        <v>43313</v>
      </c>
      <c r="AV25" s="221">
        <f t="shared" si="62"/>
        <v>43617</v>
      </c>
      <c r="AW25" s="222">
        <f t="shared" si="117"/>
        <v>5.7099999999999998E-2</v>
      </c>
      <c r="AX25" s="222">
        <f t="shared" si="118"/>
        <v>9.64E-2</v>
      </c>
      <c r="AY25" s="219">
        <f t="shared" si="124"/>
        <v>0</v>
      </c>
      <c r="AZ25" s="219">
        <f t="shared" si="125"/>
        <v>0</v>
      </c>
      <c r="BA25" s="309"/>
      <c r="BB25" s="310"/>
      <c r="BC25" s="223" t="e">
        <f t="shared" si="119"/>
        <v>#DIV/0!</v>
      </c>
      <c r="BD25" s="224"/>
      <c r="BE25" s="225" t="e">
        <f t="shared" si="131"/>
        <v>#DIV/0!</v>
      </c>
      <c r="BF25" s="225" t="e">
        <f t="shared" si="132"/>
        <v>#DIV/0!</v>
      </c>
      <c r="BG25" s="225" t="e">
        <f t="shared" si="133"/>
        <v>#DIV/0!</v>
      </c>
      <c r="BH25" s="225" t="e">
        <f t="shared" si="134"/>
        <v>#DIV/0!</v>
      </c>
      <c r="BI25" s="225" t="e">
        <f t="shared" si="135"/>
        <v>#DIV/0!</v>
      </c>
      <c r="BJ25" s="226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</row>
    <row r="26" spans="1:102" s="229" customFormat="1" ht="22.5" hidden="1">
      <c r="A26" s="304">
        <f t="shared" si="102"/>
        <v>23</v>
      </c>
      <c r="B26" s="302"/>
      <c r="C26" s="371"/>
      <c r="D26" s="230"/>
      <c r="E26" s="231" t="s">
        <v>241</v>
      </c>
      <c r="F26" s="232"/>
      <c r="G26" s="305"/>
      <c r="H26" s="233" t="s">
        <v>106</v>
      </c>
      <c r="I26" s="306"/>
      <c r="J26" s="307"/>
      <c r="K26" s="307"/>
      <c r="L26" s="307"/>
      <c r="M26" s="307"/>
      <c r="N26" s="307"/>
      <c r="O26" s="216">
        <f t="shared" si="103"/>
        <v>0</v>
      </c>
      <c r="P26" s="307">
        <f t="shared" si="74"/>
        <v>0</v>
      </c>
      <c r="Q26" s="307"/>
      <c r="R26" s="307"/>
      <c r="S26" s="307"/>
      <c r="T26" s="216">
        <f t="shared" si="104"/>
        <v>0</v>
      </c>
      <c r="U26" s="217">
        <f t="shared" si="105"/>
        <v>0</v>
      </c>
      <c r="V26" s="217">
        <f t="shared" si="106"/>
        <v>0</v>
      </c>
      <c r="W26" s="307">
        <f t="shared" si="121"/>
        <v>0</v>
      </c>
      <c r="X26" s="215"/>
      <c r="Y26" s="215"/>
      <c r="Z26" s="307"/>
      <c r="AA26" s="217">
        <f t="shared" si="107"/>
        <v>0</v>
      </c>
      <c r="AB26" s="217">
        <f t="shared" si="108"/>
        <v>0</v>
      </c>
      <c r="AC26" s="217">
        <f t="shared" si="109"/>
        <v>0</v>
      </c>
      <c r="AD26" s="217">
        <f t="shared" si="110"/>
        <v>0</v>
      </c>
      <c r="AE26" s="217">
        <f t="shared" si="111"/>
        <v>0</v>
      </c>
      <c r="AF26" s="217">
        <f t="shared" si="112"/>
        <v>0</v>
      </c>
      <c r="AG26" s="217">
        <f t="shared" si="113"/>
        <v>0</v>
      </c>
      <c r="AH26" s="217">
        <f t="shared" si="114"/>
        <v>0</v>
      </c>
      <c r="AI26" s="217">
        <f t="shared" si="115"/>
        <v>0</v>
      </c>
      <c r="AJ26" s="217">
        <f t="shared" si="136"/>
        <v>0</v>
      </c>
      <c r="AK26" s="218">
        <f t="shared" si="128"/>
        <v>0</v>
      </c>
      <c r="AL26" s="218">
        <f t="shared" si="122"/>
        <v>0</v>
      </c>
      <c r="AM26" s="218">
        <f t="shared" si="130"/>
        <v>0</v>
      </c>
      <c r="AN26" s="218">
        <f t="shared" si="126"/>
        <v>0</v>
      </c>
      <c r="AO26" s="218">
        <f t="shared" si="127"/>
        <v>0</v>
      </c>
      <c r="AP26" s="219">
        <f t="shared" si="123"/>
        <v>0</v>
      </c>
      <c r="AQ26" s="308">
        <v>4</v>
      </c>
      <c r="AR26" s="308">
        <v>12</v>
      </c>
      <c r="AS26" s="220">
        <v>1</v>
      </c>
      <c r="AT26" s="220">
        <v>12</v>
      </c>
      <c r="AU26" s="221">
        <f t="shared" si="61"/>
        <v>43313</v>
      </c>
      <c r="AV26" s="221">
        <f t="shared" si="62"/>
        <v>43617</v>
      </c>
      <c r="AW26" s="222">
        <f t="shared" si="117"/>
        <v>5.7099999999999998E-2</v>
      </c>
      <c r="AX26" s="222">
        <f t="shared" si="118"/>
        <v>9.64E-2</v>
      </c>
      <c r="AY26" s="219">
        <f t="shared" si="124"/>
        <v>0</v>
      </c>
      <c r="AZ26" s="219">
        <f t="shared" si="125"/>
        <v>0</v>
      </c>
      <c r="BA26" s="309"/>
      <c r="BB26" s="310"/>
      <c r="BC26" s="223" t="e">
        <f t="shared" si="119"/>
        <v>#DIV/0!</v>
      </c>
      <c r="BD26" s="224"/>
      <c r="BE26" s="225" t="e">
        <f t="shared" si="131"/>
        <v>#DIV/0!</v>
      </c>
      <c r="BF26" s="225" t="e">
        <f t="shared" si="132"/>
        <v>#DIV/0!</v>
      </c>
      <c r="BG26" s="225" t="e">
        <f t="shared" si="133"/>
        <v>#DIV/0!</v>
      </c>
      <c r="BH26" s="225" t="e">
        <f t="shared" si="134"/>
        <v>#DIV/0!</v>
      </c>
      <c r="BI26" s="225" t="e">
        <f t="shared" si="135"/>
        <v>#DIV/0!</v>
      </c>
      <c r="BJ26" s="226"/>
      <c r="BK26" s="307"/>
      <c r="BL26" s="307"/>
      <c r="BM26" s="307"/>
      <c r="BN26" s="307"/>
      <c r="BO26" s="307"/>
      <c r="BP26" s="307"/>
      <c r="BQ26" s="307"/>
      <c r="BR26" s="307"/>
      <c r="BS26" s="307"/>
      <c r="BT26" s="307"/>
      <c r="BU26" s="307"/>
      <c r="BV26" s="307"/>
      <c r="BW26" s="307"/>
      <c r="BX26" s="307"/>
      <c r="BY26" s="307"/>
      <c r="BZ26" s="307"/>
      <c r="CA26" s="307"/>
      <c r="CB26" s="307"/>
      <c r="CC26" s="307"/>
      <c r="CD26" s="307"/>
      <c r="CE26" s="307"/>
      <c r="CF26" s="307"/>
      <c r="CG26" s="307"/>
      <c r="CH26" s="307"/>
      <c r="CI26" s="307"/>
      <c r="CJ26" s="307"/>
      <c r="CK26" s="307"/>
      <c r="CL26" s="307"/>
      <c r="CM26" s="307"/>
      <c r="CN26" s="307"/>
      <c r="CO26" s="307"/>
      <c r="CP26" s="307"/>
      <c r="CQ26" s="307"/>
      <c r="CR26" s="307"/>
      <c r="CS26" s="307"/>
      <c r="CT26" s="307"/>
      <c r="CU26" s="307"/>
      <c r="CV26" s="307"/>
      <c r="CW26" s="307"/>
      <c r="CX26" s="307"/>
    </row>
    <row r="27" spans="1:102" s="229" customFormat="1" ht="22.5" hidden="1">
      <c r="A27" s="304">
        <f t="shared" si="102"/>
        <v>24</v>
      </c>
      <c r="B27" s="302"/>
      <c r="C27" s="371"/>
      <c r="D27" s="230"/>
      <c r="E27" s="231" t="s">
        <v>241</v>
      </c>
      <c r="F27" s="232"/>
      <c r="G27" s="305"/>
      <c r="H27" s="233" t="s">
        <v>106</v>
      </c>
      <c r="I27" s="306"/>
      <c r="J27" s="307"/>
      <c r="K27" s="307"/>
      <c r="L27" s="307"/>
      <c r="M27" s="307"/>
      <c r="N27" s="307"/>
      <c r="O27" s="216">
        <f t="shared" si="103"/>
        <v>0</v>
      </c>
      <c r="P27" s="307">
        <f t="shared" si="74"/>
        <v>0</v>
      </c>
      <c r="Q27" s="307"/>
      <c r="R27" s="307"/>
      <c r="S27" s="307"/>
      <c r="T27" s="216">
        <f t="shared" si="104"/>
        <v>0</v>
      </c>
      <c r="U27" s="217">
        <f t="shared" si="105"/>
        <v>0</v>
      </c>
      <c r="V27" s="217">
        <f t="shared" si="106"/>
        <v>0</v>
      </c>
      <c r="W27" s="307">
        <f t="shared" si="121"/>
        <v>0</v>
      </c>
      <c r="X27" s="215"/>
      <c r="Y27" s="215"/>
      <c r="Z27" s="307"/>
      <c r="AA27" s="217">
        <f t="shared" si="107"/>
        <v>0</v>
      </c>
      <c r="AB27" s="217">
        <f t="shared" si="108"/>
        <v>0</v>
      </c>
      <c r="AC27" s="217">
        <f t="shared" si="109"/>
        <v>0</v>
      </c>
      <c r="AD27" s="217">
        <f t="shared" si="110"/>
        <v>0</v>
      </c>
      <c r="AE27" s="217">
        <f t="shared" si="111"/>
        <v>0</v>
      </c>
      <c r="AF27" s="217">
        <f t="shared" si="112"/>
        <v>0</v>
      </c>
      <c r="AG27" s="217">
        <f t="shared" si="113"/>
        <v>0</v>
      </c>
      <c r="AH27" s="217">
        <f t="shared" si="114"/>
        <v>0</v>
      </c>
      <c r="AI27" s="217">
        <f t="shared" si="115"/>
        <v>0</v>
      </c>
      <c r="AJ27" s="217">
        <f t="shared" si="136"/>
        <v>0</v>
      </c>
      <c r="AK27" s="218">
        <f t="shared" si="128"/>
        <v>0</v>
      </c>
      <c r="AL27" s="218">
        <f t="shared" si="122"/>
        <v>0</v>
      </c>
      <c r="AM27" s="218">
        <f t="shared" si="130"/>
        <v>0</v>
      </c>
      <c r="AN27" s="218">
        <f t="shared" si="126"/>
        <v>0</v>
      </c>
      <c r="AO27" s="218">
        <f t="shared" si="127"/>
        <v>0</v>
      </c>
      <c r="AP27" s="219">
        <f t="shared" si="123"/>
        <v>0</v>
      </c>
      <c r="AQ27" s="308">
        <v>4</v>
      </c>
      <c r="AR27" s="308">
        <v>12</v>
      </c>
      <c r="AS27" s="220">
        <v>1</v>
      </c>
      <c r="AT27" s="220">
        <v>12</v>
      </c>
      <c r="AU27" s="221">
        <f t="shared" si="61"/>
        <v>43313</v>
      </c>
      <c r="AV27" s="221">
        <f t="shared" si="62"/>
        <v>43617</v>
      </c>
      <c r="AW27" s="222">
        <f t="shared" si="117"/>
        <v>5.7099999999999998E-2</v>
      </c>
      <c r="AX27" s="222">
        <f t="shared" si="118"/>
        <v>9.64E-2</v>
      </c>
      <c r="AY27" s="219">
        <f t="shared" si="124"/>
        <v>0</v>
      </c>
      <c r="AZ27" s="219">
        <f t="shared" si="125"/>
        <v>0</v>
      </c>
      <c r="BA27" s="309"/>
      <c r="BB27" s="310"/>
      <c r="BC27" s="223" t="e">
        <f t="shared" si="119"/>
        <v>#DIV/0!</v>
      </c>
      <c r="BD27" s="224"/>
      <c r="BE27" s="225" t="e">
        <f t="shared" si="131"/>
        <v>#DIV/0!</v>
      </c>
      <c r="BF27" s="225" t="e">
        <f t="shared" si="132"/>
        <v>#DIV/0!</v>
      </c>
      <c r="BG27" s="225" t="e">
        <f t="shared" si="133"/>
        <v>#DIV/0!</v>
      </c>
      <c r="BH27" s="225" t="e">
        <f t="shared" si="134"/>
        <v>#DIV/0!</v>
      </c>
      <c r="BI27" s="225" t="e">
        <f t="shared" si="135"/>
        <v>#DIV/0!</v>
      </c>
      <c r="BJ27" s="226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</row>
    <row r="28" spans="1:102" s="229" customFormat="1" ht="22.5" hidden="1">
      <c r="A28" s="304">
        <f t="shared" si="102"/>
        <v>25</v>
      </c>
      <c r="B28" s="302"/>
      <c r="C28" s="371"/>
      <c r="D28" s="230"/>
      <c r="E28" s="231" t="s">
        <v>241</v>
      </c>
      <c r="F28" s="232"/>
      <c r="G28" s="305"/>
      <c r="H28" s="233" t="s">
        <v>106</v>
      </c>
      <c r="I28" s="306"/>
      <c r="J28" s="307"/>
      <c r="K28" s="307"/>
      <c r="L28" s="307"/>
      <c r="M28" s="307"/>
      <c r="N28" s="307"/>
      <c r="O28" s="216">
        <f t="shared" si="103"/>
        <v>0</v>
      </c>
      <c r="P28" s="307">
        <f t="shared" si="74"/>
        <v>0</v>
      </c>
      <c r="Q28" s="307"/>
      <c r="R28" s="307"/>
      <c r="S28" s="307"/>
      <c r="T28" s="216">
        <f t="shared" si="104"/>
        <v>0</v>
      </c>
      <c r="U28" s="217">
        <f t="shared" si="105"/>
        <v>0</v>
      </c>
      <c r="V28" s="217">
        <f t="shared" si="106"/>
        <v>0</v>
      </c>
      <c r="W28" s="307">
        <f t="shared" si="121"/>
        <v>0</v>
      </c>
      <c r="X28" s="215"/>
      <c r="Y28" s="215"/>
      <c r="Z28" s="307"/>
      <c r="AA28" s="217">
        <f t="shared" si="107"/>
        <v>0</v>
      </c>
      <c r="AB28" s="217">
        <f t="shared" si="108"/>
        <v>0</v>
      </c>
      <c r="AC28" s="217">
        <f t="shared" si="109"/>
        <v>0</v>
      </c>
      <c r="AD28" s="217">
        <f t="shared" si="110"/>
        <v>0</v>
      </c>
      <c r="AE28" s="217">
        <f t="shared" si="111"/>
        <v>0</v>
      </c>
      <c r="AF28" s="217">
        <f t="shared" si="112"/>
        <v>0</v>
      </c>
      <c r="AG28" s="217">
        <f t="shared" si="113"/>
        <v>0</v>
      </c>
      <c r="AH28" s="217">
        <f t="shared" si="114"/>
        <v>0</v>
      </c>
      <c r="AI28" s="217">
        <f t="shared" si="115"/>
        <v>0</v>
      </c>
      <c r="AJ28" s="217">
        <f t="shared" si="136"/>
        <v>0</v>
      </c>
      <c r="AK28" s="218">
        <f t="shared" si="128"/>
        <v>0</v>
      </c>
      <c r="AL28" s="218">
        <f t="shared" si="122"/>
        <v>0</v>
      </c>
      <c r="AM28" s="218">
        <f t="shared" si="130"/>
        <v>0</v>
      </c>
      <c r="AN28" s="218">
        <f t="shared" si="126"/>
        <v>0</v>
      </c>
      <c r="AO28" s="218">
        <f t="shared" si="127"/>
        <v>0</v>
      </c>
      <c r="AP28" s="219">
        <f t="shared" si="123"/>
        <v>0</v>
      </c>
      <c r="AQ28" s="308">
        <v>4</v>
      </c>
      <c r="AR28" s="308">
        <v>12</v>
      </c>
      <c r="AS28" s="220">
        <v>1</v>
      </c>
      <c r="AT28" s="220">
        <v>12</v>
      </c>
      <c r="AU28" s="221">
        <f t="shared" si="61"/>
        <v>43313</v>
      </c>
      <c r="AV28" s="221">
        <f t="shared" si="62"/>
        <v>43617</v>
      </c>
      <c r="AW28" s="222">
        <f t="shared" si="117"/>
        <v>5.7099999999999998E-2</v>
      </c>
      <c r="AX28" s="222">
        <f t="shared" si="118"/>
        <v>9.64E-2</v>
      </c>
      <c r="AY28" s="219">
        <f t="shared" si="124"/>
        <v>0</v>
      </c>
      <c r="AZ28" s="219">
        <f t="shared" si="125"/>
        <v>0</v>
      </c>
      <c r="BA28" s="309"/>
      <c r="BB28" s="310"/>
      <c r="BC28" s="223" t="e">
        <f t="shared" si="119"/>
        <v>#DIV/0!</v>
      </c>
      <c r="BD28" s="224"/>
      <c r="BE28" s="225" t="e">
        <f t="shared" si="131"/>
        <v>#DIV/0!</v>
      </c>
      <c r="BF28" s="225" t="e">
        <f t="shared" si="132"/>
        <v>#DIV/0!</v>
      </c>
      <c r="BG28" s="225" t="e">
        <f t="shared" si="133"/>
        <v>#DIV/0!</v>
      </c>
      <c r="BH28" s="225" t="e">
        <f t="shared" si="134"/>
        <v>#DIV/0!</v>
      </c>
      <c r="BI28" s="225" t="e">
        <f t="shared" si="135"/>
        <v>#DIV/0!</v>
      </c>
      <c r="BJ28" s="226"/>
      <c r="BK28" s="307"/>
      <c r="BL28" s="307"/>
      <c r="BM28" s="307"/>
      <c r="BN28" s="307"/>
      <c r="BO28" s="307"/>
      <c r="BP28" s="307"/>
      <c r="BQ28" s="307"/>
      <c r="BR28" s="307"/>
      <c r="BS28" s="307"/>
      <c r="BT28" s="307"/>
      <c r="BU28" s="307"/>
      <c r="BV28" s="307"/>
      <c r="BW28" s="307"/>
      <c r="BX28" s="307"/>
      <c r="BY28" s="307"/>
      <c r="BZ28" s="307"/>
      <c r="CA28" s="307"/>
      <c r="CB28" s="307"/>
      <c r="CC28" s="307"/>
      <c r="CD28" s="307"/>
      <c r="CE28" s="307"/>
      <c r="CF28" s="307"/>
      <c r="CG28" s="307"/>
      <c r="CH28" s="307"/>
      <c r="CI28" s="307"/>
      <c r="CJ28" s="307"/>
      <c r="CK28" s="307"/>
      <c r="CL28" s="307"/>
      <c r="CM28" s="307"/>
      <c r="CN28" s="307"/>
      <c r="CO28" s="307"/>
      <c r="CP28" s="307"/>
      <c r="CQ28" s="307"/>
      <c r="CR28" s="307"/>
      <c r="CS28" s="307"/>
      <c r="CT28" s="307"/>
      <c r="CU28" s="307"/>
      <c r="CV28" s="307"/>
      <c r="CW28" s="307"/>
      <c r="CX28" s="307"/>
    </row>
    <row r="29" spans="1:102" s="229" customFormat="1" ht="22.5" hidden="1">
      <c r="A29" s="304">
        <f t="shared" si="102"/>
        <v>26</v>
      </c>
      <c r="B29" s="302"/>
      <c r="C29" s="371"/>
      <c r="D29" s="230"/>
      <c r="E29" s="231" t="s">
        <v>241</v>
      </c>
      <c r="F29" s="232"/>
      <c r="G29" s="305"/>
      <c r="H29" s="233" t="s">
        <v>106</v>
      </c>
      <c r="I29" s="306"/>
      <c r="J29" s="307"/>
      <c r="K29" s="307"/>
      <c r="L29" s="307"/>
      <c r="M29" s="307"/>
      <c r="N29" s="307"/>
      <c r="O29" s="216">
        <f t="shared" si="103"/>
        <v>0</v>
      </c>
      <c r="P29" s="307">
        <f t="shared" si="74"/>
        <v>0</v>
      </c>
      <c r="Q29" s="307"/>
      <c r="R29" s="307"/>
      <c r="S29" s="307"/>
      <c r="T29" s="216">
        <f t="shared" si="104"/>
        <v>0</v>
      </c>
      <c r="U29" s="217">
        <f t="shared" si="105"/>
        <v>0</v>
      </c>
      <c r="V29" s="217">
        <f t="shared" si="106"/>
        <v>0</v>
      </c>
      <c r="W29" s="307">
        <f t="shared" si="121"/>
        <v>0</v>
      </c>
      <c r="X29" s="215"/>
      <c r="Y29" s="215"/>
      <c r="Z29" s="307"/>
      <c r="AA29" s="217">
        <f t="shared" si="107"/>
        <v>0</v>
      </c>
      <c r="AB29" s="217">
        <f t="shared" si="108"/>
        <v>0</v>
      </c>
      <c r="AC29" s="217">
        <f t="shared" si="109"/>
        <v>0</v>
      </c>
      <c r="AD29" s="217">
        <f t="shared" si="110"/>
        <v>0</v>
      </c>
      <c r="AE29" s="217">
        <f t="shared" si="111"/>
        <v>0</v>
      </c>
      <c r="AF29" s="217">
        <f t="shared" si="112"/>
        <v>0</v>
      </c>
      <c r="AG29" s="217">
        <f t="shared" si="113"/>
        <v>0</v>
      </c>
      <c r="AH29" s="217">
        <f t="shared" si="114"/>
        <v>0</v>
      </c>
      <c r="AI29" s="217">
        <f t="shared" si="115"/>
        <v>0</v>
      </c>
      <c r="AJ29" s="217">
        <f t="shared" si="136"/>
        <v>0</v>
      </c>
      <c r="AK29" s="218">
        <f t="shared" si="128"/>
        <v>0</v>
      </c>
      <c r="AL29" s="218">
        <f t="shared" si="122"/>
        <v>0</v>
      </c>
      <c r="AM29" s="218">
        <f t="shared" si="130"/>
        <v>0</v>
      </c>
      <c r="AN29" s="218">
        <f t="shared" si="126"/>
        <v>0</v>
      </c>
      <c r="AO29" s="218">
        <f t="shared" si="127"/>
        <v>0</v>
      </c>
      <c r="AP29" s="219">
        <f t="shared" si="123"/>
        <v>0</v>
      </c>
      <c r="AQ29" s="308">
        <v>4</v>
      </c>
      <c r="AR29" s="308">
        <v>12</v>
      </c>
      <c r="AS29" s="220">
        <v>1</v>
      </c>
      <c r="AT29" s="220">
        <v>12</v>
      </c>
      <c r="AU29" s="221">
        <f t="shared" si="61"/>
        <v>43313</v>
      </c>
      <c r="AV29" s="221">
        <f t="shared" si="62"/>
        <v>43617</v>
      </c>
      <c r="AW29" s="222">
        <f t="shared" si="117"/>
        <v>5.7099999999999998E-2</v>
      </c>
      <c r="AX29" s="222">
        <f t="shared" si="118"/>
        <v>9.64E-2</v>
      </c>
      <c r="AY29" s="219">
        <f t="shared" si="124"/>
        <v>0</v>
      </c>
      <c r="AZ29" s="219">
        <f t="shared" si="125"/>
        <v>0</v>
      </c>
      <c r="BA29" s="309"/>
      <c r="BB29" s="310"/>
      <c r="BC29" s="223" t="e">
        <f t="shared" si="119"/>
        <v>#DIV/0!</v>
      </c>
      <c r="BD29" s="224"/>
      <c r="BE29" s="225" t="e">
        <f t="shared" si="131"/>
        <v>#DIV/0!</v>
      </c>
      <c r="BF29" s="225" t="e">
        <f t="shared" si="132"/>
        <v>#DIV/0!</v>
      </c>
      <c r="BG29" s="225" t="e">
        <f t="shared" si="133"/>
        <v>#DIV/0!</v>
      </c>
      <c r="BH29" s="225" t="e">
        <f t="shared" si="134"/>
        <v>#DIV/0!</v>
      </c>
      <c r="BI29" s="225" t="e">
        <f t="shared" si="135"/>
        <v>#DIV/0!</v>
      </c>
      <c r="BJ29" s="226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</row>
    <row r="30" spans="1:102" s="229" customFormat="1" ht="22.5" hidden="1">
      <c r="A30" s="304">
        <f t="shared" si="102"/>
        <v>27</v>
      </c>
      <c r="B30" s="302"/>
      <c r="C30" s="371"/>
      <c r="D30" s="230"/>
      <c r="E30" s="231" t="s">
        <v>241</v>
      </c>
      <c r="F30" s="232"/>
      <c r="G30" s="305"/>
      <c r="H30" s="233" t="s">
        <v>106</v>
      </c>
      <c r="I30" s="306"/>
      <c r="J30" s="307"/>
      <c r="K30" s="307"/>
      <c r="L30" s="307"/>
      <c r="M30" s="307"/>
      <c r="N30" s="307"/>
      <c r="O30" s="216">
        <f t="shared" si="103"/>
        <v>0</v>
      </c>
      <c r="P30" s="307">
        <f t="shared" si="74"/>
        <v>0</v>
      </c>
      <c r="Q30" s="307"/>
      <c r="R30" s="307"/>
      <c r="S30" s="307"/>
      <c r="T30" s="216">
        <f t="shared" si="104"/>
        <v>0</v>
      </c>
      <c r="U30" s="217">
        <f t="shared" si="105"/>
        <v>0</v>
      </c>
      <c r="V30" s="217">
        <f t="shared" si="106"/>
        <v>0</v>
      </c>
      <c r="W30" s="307">
        <f t="shared" si="121"/>
        <v>0</v>
      </c>
      <c r="X30" s="215"/>
      <c r="Y30" s="215"/>
      <c r="Z30" s="307"/>
      <c r="AA30" s="217">
        <f t="shared" si="107"/>
        <v>0</v>
      </c>
      <c r="AB30" s="217">
        <f t="shared" si="108"/>
        <v>0</v>
      </c>
      <c r="AC30" s="217">
        <f t="shared" si="109"/>
        <v>0</v>
      </c>
      <c r="AD30" s="217">
        <f t="shared" si="110"/>
        <v>0</v>
      </c>
      <c r="AE30" s="217">
        <f t="shared" si="111"/>
        <v>0</v>
      </c>
      <c r="AF30" s="217">
        <f t="shared" si="112"/>
        <v>0</v>
      </c>
      <c r="AG30" s="217">
        <f t="shared" si="113"/>
        <v>0</v>
      </c>
      <c r="AH30" s="217">
        <f t="shared" si="114"/>
        <v>0</v>
      </c>
      <c r="AI30" s="217">
        <f t="shared" si="115"/>
        <v>0</v>
      </c>
      <c r="AJ30" s="217">
        <f t="shared" si="136"/>
        <v>0</v>
      </c>
      <c r="AK30" s="218">
        <f t="shared" si="128"/>
        <v>0</v>
      </c>
      <c r="AL30" s="218">
        <f t="shared" si="122"/>
        <v>0</v>
      </c>
      <c r="AM30" s="218">
        <f t="shared" si="130"/>
        <v>0</v>
      </c>
      <c r="AN30" s="218">
        <f t="shared" si="126"/>
        <v>0</v>
      </c>
      <c r="AO30" s="218">
        <f t="shared" si="127"/>
        <v>0</v>
      </c>
      <c r="AP30" s="219">
        <f t="shared" si="123"/>
        <v>0</v>
      </c>
      <c r="AQ30" s="308">
        <v>4</v>
      </c>
      <c r="AR30" s="308">
        <v>12</v>
      </c>
      <c r="AS30" s="220">
        <v>1</v>
      </c>
      <c r="AT30" s="220">
        <v>12</v>
      </c>
      <c r="AU30" s="221">
        <f t="shared" si="61"/>
        <v>43313</v>
      </c>
      <c r="AV30" s="221">
        <f t="shared" si="62"/>
        <v>43617</v>
      </c>
      <c r="AW30" s="222">
        <f t="shared" si="117"/>
        <v>5.7099999999999998E-2</v>
      </c>
      <c r="AX30" s="222">
        <f t="shared" si="118"/>
        <v>9.64E-2</v>
      </c>
      <c r="AY30" s="219">
        <f t="shared" si="124"/>
        <v>0</v>
      </c>
      <c r="AZ30" s="219">
        <f t="shared" si="125"/>
        <v>0</v>
      </c>
      <c r="BA30" s="309"/>
      <c r="BB30" s="310"/>
      <c r="BC30" s="223" t="e">
        <f t="shared" si="119"/>
        <v>#DIV/0!</v>
      </c>
      <c r="BD30" s="224"/>
      <c r="BE30" s="225" t="e">
        <f t="shared" si="131"/>
        <v>#DIV/0!</v>
      </c>
      <c r="BF30" s="225" t="e">
        <f t="shared" si="132"/>
        <v>#DIV/0!</v>
      </c>
      <c r="BG30" s="225" t="e">
        <f t="shared" si="133"/>
        <v>#DIV/0!</v>
      </c>
      <c r="BH30" s="225" t="e">
        <f t="shared" si="134"/>
        <v>#DIV/0!</v>
      </c>
      <c r="BI30" s="225" t="e">
        <f t="shared" si="135"/>
        <v>#DIV/0!</v>
      </c>
      <c r="BJ30" s="226"/>
      <c r="BK30" s="307"/>
      <c r="BL30" s="307"/>
      <c r="BM30" s="307"/>
      <c r="BN30" s="307"/>
      <c r="BO30" s="307"/>
      <c r="BP30" s="307"/>
      <c r="BQ30" s="307"/>
      <c r="BR30" s="307"/>
      <c r="BS30" s="307"/>
      <c r="BT30" s="307"/>
      <c r="BU30" s="307"/>
      <c r="BV30" s="307"/>
      <c r="BW30" s="307"/>
      <c r="BX30" s="307"/>
      <c r="BY30" s="307"/>
      <c r="BZ30" s="307"/>
      <c r="CA30" s="307"/>
      <c r="CB30" s="307"/>
      <c r="CC30" s="307"/>
      <c r="CD30" s="307"/>
      <c r="CE30" s="307"/>
      <c r="CF30" s="307"/>
      <c r="CG30" s="307"/>
      <c r="CH30" s="307"/>
      <c r="CI30" s="307"/>
      <c r="CJ30" s="307"/>
      <c r="CK30" s="307"/>
      <c r="CL30" s="307"/>
      <c r="CM30" s="307"/>
      <c r="CN30" s="307"/>
      <c r="CO30" s="307"/>
      <c r="CP30" s="307"/>
      <c r="CQ30" s="307"/>
      <c r="CR30" s="307"/>
      <c r="CS30" s="307"/>
      <c r="CT30" s="307"/>
      <c r="CU30" s="307"/>
      <c r="CV30" s="307"/>
      <c r="CW30" s="307"/>
      <c r="CX30" s="307"/>
    </row>
    <row r="31" spans="1:102" s="229" customFormat="1" ht="22.5" hidden="1">
      <c r="A31" s="304">
        <f t="shared" si="102"/>
        <v>28</v>
      </c>
      <c r="B31" s="302"/>
      <c r="C31" s="371"/>
      <c r="D31" s="230"/>
      <c r="E31" s="231" t="s">
        <v>241</v>
      </c>
      <c r="F31" s="232"/>
      <c r="G31" s="305"/>
      <c r="H31" s="233" t="s">
        <v>106</v>
      </c>
      <c r="I31" s="306"/>
      <c r="J31" s="307"/>
      <c r="K31" s="307"/>
      <c r="L31" s="307"/>
      <c r="M31" s="307"/>
      <c r="N31" s="307"/>
      <c r="O31" s="216">
        <f t="shared" si="103"/>
        <v>0</v>
      </c>
      <c r="P31" s="307">
        <f t="shared" si="74"/>
        <v>0</v>
      </c>
      <c r="Q31" s="307"/>
      <c r="R31" s="307"/>
      <c r="S31" s="307"/>
      <c r="T31" s="216">
        <f t="shared" si="104"/>
        <v>0</v>
      </c>
      <c r="U31" s="217">
        <f t="shared" si="105"/>
        <v>0</v>
      </c>
      <c r="V31" s="217">
        <f t="shared" si="106"/>
        <v>0</v>
      </c>
      <c r="W31" s="307">
        <f t="shared" si="121"/>
        <v>0</v>
      </c>
      <c r="X31" s="215"/>
      <c r="Y31" s="215"/>
      <c r="Z31" s="307"/>
      <c r="AA31" s="217">
        <f t="shared" si="107"/>
        <v>0</v>
      </c>
      <c r="AB31" s="217">
        <f t="shared" si="108"/>
        <v>0</v>
      </c>
      <c r="AC31" s="217">
        <f t="shared" si="109"/>
        <v>0</v>
      </c>
      <c r="AD31" s="217">
        <f t="shared" si="110"/>
        <v>0</v>
      </c>
      <c r="AE31" s="217">
        <f t="shared" si="111"/>
        <v>0</v>
      </c>
      <c r="AF31" s="217">
        <f t="shared" si="112"/>
        <v>0</v>
      </c>
      <c r="AG31" s="217">
        <f t="shared" si="113"/>
        <v>0</v>
      </c>
      <c r="AH31" s="217">
        <f t="shared" si="114"/>
        <v>0</v>
      </c>
      <c r="AI31" s="217">
        <f t="shared" si="115"/>
        <v>0</v>
      </c>
      <c r="AJ31" s="217">
        <f t="shared" si="136"/>
        <v>0</v>
      </c>
      <c r="AK31" s="218">
        <f t="shared" si="128"/>
        <v>0</v>
      </c>
      <c r="AL31" s="218">
        <f t="shared" si="122"/>
        <v>0</v>
      </c>
      <c r="AM31" s="218">
        <f t="shared" si="130"/>
        <v>0</v>
      </c>
      <c r="AN31" s="218">
        <f t="shared" si="126"/>
        <v>0</v>
      </c>
      <c r="AO31" s="218">
        <f t="shared" si="127"/>
        <v>0</v>
      </c>
      <c r="AP31" s="219">
        <f t="shared" si="123"/>
        <v>0</v>
      </c>
      <c r="AQ31" s="308">
        <v>4</v>
      </c>
      <c r="AR31" s="308">
        <v>12</v>
      </c>
      <c r="AS31" s="220">
        <v>1</v>
      </c>
      <c r="AT31" s="220">
        <v>12</v>
      </c>
      <c r="AU31" s="221">
        <f t="shared" si="61"/>
        <v>43313</v>
      </c>
      <c r="AV31" s="221">
        <f t="shared" si="62"/>
        <v>43617</v>
      </c>
      <c r="AW31" s="222">
        <f t="shared" si="117"/>
        <v>5.7099999999999998E-2</v>
      </c>
      <c r="AX31" s="222">
        <f t="shared" si="118"/>
        <v>9.64E-2</v>
      </c>
      <c r="AY31" s="219">
        <f t="shared" si="124"/>
        <v>0</v>
      </c>
      <c r="AZ31" s="219">
        <f t="shared" si="125"/>
        <v>0</v>
      </c>
      <c r="BA31" s="309"/>
      <c r="BB31" s="310"/>
      <c r="BC31" s="223" t="e">
        <f t="shared" si="119"/>
        <v>#DIV/0!</v>
      </c>
      <c r="BD31" s="224"/>
      <c r="BE31" s="225" t="e">
        <f t="shared" si="131"/>
        <v>#DIV/0!</v>
      </c>
      <c r="BF31" s="225" t="e">
        <f t="shared" si="132"/>
        <v>#DIV/0!</v>
      </c>
      <c r="BG31" s="225" t="e">
        <f t="shared" si="133"/>
        <v>#DIV/0!</v>
      </c>
      <c r="BH31" s="225" t="e">
        <f t="shared" si="134"/>
        <v>#DIV/0!</v>
      </c>
      <c r="BI31" s="225" t="e">
        <f t="shared" si="135"/>
        <v>#DIV/0!</v>
      </c>
      <c r="BJ31" s="226"/>
      <c r="BK31" s="307"/>
      <c r="BL31" s="307"/>
      <c r="BM31" s="307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307"/>
      <c r="CJ31" s="307"/>
      <c r="CK31" s="307"/>
      <c r="CL31" s="307"/>
      <c r="CM31" s="307"/>
      <c r="CN31" s="307"/>
      <c r="CO31" s="307"/>
      <c r="CP31" s="307"/>
      <c r="CQ31" s="307"/>
      <c r="CR31" s="307"/>
      <c r="CS31" s="307"/>
      <c r="CT31" s="307"/>
      <c r="CU31" s="307"/>
      <c r="CV31" s="307"/>
      <c r="CW31" s="307"/>
      <c r="CX31" s="307"/>
    </row>
    <row r="32" spans="1:102" s="229" customFormat="1" ht="22.5" hidden="1">
      <c r="A32" s="304">
        <f t="shared" si="102"/>
        <v>29</v>
      </c>
      <c r="B32" s="302"/>
      <c r="C32" s="371"/>
      <c r="D32" s="230"/>
      <c r="E32" s="231" t="s">
        <v>241</v>
      </c>
      <c r="F32" s="232"/>
      <c r="G32" s="305"/>
      <c r="H32" s="233" t="s">
        <v>106</v>
      </c>
      <c r="I32" s="306"/>
      <c r="J32" s="307"/>
      <c r="K32" s="307"/>
      <c r="L32" s="307"/>
      <c r="M32" s="307"/>
      <c r="N32" s="307"/>
      <c r="O32" s="216">
        <f t="shared" si="103"/>
        <v>0</v>
      </c>
      <c r="P32" s="307">
        <f t="shared" si="74"/>
        <v>0</v>
      </c>
      <c r="Q32" s="307"/>
      <c r="R32" s="307"/>
      <c r="S32" s="307"/>
      <c r="T32" s="216">
        <f t="shared" si="104"/>
        <v>0</v>
      </c>
      <c r="U32" s="217">
        <f t="shared" si="105"/>
        <v>0</v>
      </c>
      <c r="V32" s="217">
        <f t="shared" si="106"/>
        <v>0</v>
      </c>
      <c r="W32" s="307">
        <f t="shared" si="121"/>
        <v>0</v>
      </c>
      <c r="X32" s="215"/>
      <c r="Y32" s="215"/>
      <c r="Z32" s="307"/>
      <c r="AA32" s="217">
        <f t="shared" si="107"/>
        <v>0</v>
      </c>
      <c r="AB32" s="217">
        <f t="shared" si="108"/>
        <v>0</v>
      </c>
      <c r="AC32" s="217">
        <f t="shared" si="109"/>
        <v>0</v>
      </c>
      <c r="AD32" s="217">
        <f t="shared" si="110"/>
        <v>0</v>
      </c>
      <c r="AE32" s="217">
        <f t="shared" si="111"/>
        <v>0</v>
      </c>
      <c r="AF32" s="217">
        <f t="shared" si="112"/>
        <v>0</v>
      </c>
      <c r="AG32" s="217">
        <f t="shared" si="113"/>
        <v>0</v>
      </c>
      <c r="AH32" s="217">
        <f t="shared" si="114"/>
        <v>0</v>
      </c>
      <c r="AI32" s="217">
        <f t="shared" si="115"/>
        <v>0</v>
      </c>
      <c r="AJ32" s="217">
        <f t="shared" si="136"/>
        <v>0</v>
      </c>
      <c r="AK32" s="218">
        <f t="shared" si="128"/>
        <v>0</v>
      </c>
      <c r="AL32" s="218">
        <f t="shared" si="122"/>
        <v>0</v>
      </c>
      <c r="AM32" s="218">
        <f t="shared" si="130"/>
        <v>0</v>
      </c>
      <c r="AN32" s="218">
        <f t="shared" si="126"/>
        <v>0</v>
      </c>
      <c r="AO32" s="218">
        <f t="shared" si="127"/>
        <v>0</v>
      </c>
      <c r="AP32" s="219">
        <f t="shared" si="123"/>
        <v>0</v>
      </c>
      <c r="AQ32" s="308">
        <v>4</v>
      </c>
      <c r="AR32" s="308">
        <v>12</v>
      </c>
      <c r="AS32" s="220">
        <v>1</v>
      </c>
      <c r="AT32" s="220">
        <v>12</v>
      </c>
      <c r="AU32" s="221">
        <f t="shared" si="61"/>
        <v>43313</v>
      </c>
      <c r="AV32" s="221">
        <f t="shared" si="62"/>
        <v>43617</v>
      </c>
      <c r="AW32" s="222">
        <f t="shared" si="117"/>
        <v>5.7099999999999998E-2</v>
      </c>
      <c r="AX32" s="222">
        <f t="shared" si="118"/>
        <v>9.64E-2</v>
      </c>
      <c r="AY32" s="219">
        <f t="shared" si="124"/>
        <v>0</v>
      </c>
      <c r="AZ32" s="219">
        <f t="shared" si="125"/>
        <v>0</v>
      </c>
      <c r="BA32" s="309"/>
      <c r="BB32" s="310"/>
      <c r="BC32" s="223" t="e">
        <f t="shared" si="119"/>
        <v>#DIV/0!</v>
      </c>
      <c r="BD32" s="224"/>
      <c r="BE32" s="225" t="e">
        <f t="shared" si="131"/>
        <v>#DIV/0!</v>
      </c>
      <c r="BF32" s="225" t="e">
        <f t="shared" si="132"/>
        <v>#DIV/0!</v>
      </c>
      <c r="BG32" s="225" t="e">
        <f t="shared" si="133"/>
        <v>#DIV/0!</v>
      </c>
      <c r="BH32" s="225" t="e">
        <f t="shared" si="134"/>
        <v>#DIV/0!</v>
      </c>
      <c r="BI32" s="225" t="e">
        <f t="shared" si="135"/>
        <v>#DIV/0!</v>
      </c>
      <c r="BJ32" s="226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</row>
    <row r="33" spans="1:102" s="229" customFormat="1" ht="22.5" hidden="1">
      <c r="A33" s="304">
        <f t="shared" si="102"/>
        <v>30</v>
      </c>
      <c r="B33" s="302"/>
      <c r="C33" s="371"/>
      <c r="D33" s="230"/>
      <c r="E33" s="231" t="s">
        <v>241</v>
      </c>
      <c r="F33" s="232"/>
      <c r="G33" s="305"/>
      <c r="H33" s="233" t="s">
        <v>106</v>
      </c>
      <c r="I33" s="306"/>
      <c r="J33" s="307"/>
      <c r="K33" s="307"/>
      <c r="L33" s="307"/>
      <c r="M33" s="307"/>
      <c r="N33" s="307"/>
      <c r="O33" s="216">
        <f t="shared" si="103"/>
        <v>0</v>
      </c>
      <c r="P33" s="307">
        <f t="shared" si="74"/>
        <v>0</v>
      </c>
      <c r="Q33" s="307"/>
      <c r="R33" s="307"/>
      <c r="S33" s="307"/>
      <c r="T33" s="216">
        <f t="shared" si="104"/>
        <v>0</v>
      </c>
      <c r="U33" s="217">
        <f t="shared" si="105"/>
        <v>0</v>
      </c>
      <c r="V33" s="217">
        <f t="shared" si="106"/>
        <v>0</v>
      </c>
      <c r="W33" s="307">
        <f t="shared" si="121"/>
        <v>0</v>
      </c>
      <c r="X33" s="215"/>
      <c r="Y33" s="215"/>
      <c r="Z33" s="307"/>
      <c r="AA33" s="217">
        <f t="shared" si="107"/>
        <v>0</v>
      </c>
      <c r="AB33" s="217">
        <f t="shared" si="108"/>
        <v>0</v>
      </c>
      <c r="AC33" s="217">
        <f t="shared" si="109"/>
        <v>0</v>
      </c>
      <c r="AD33" s="217">
        <f t="shared" si="110"/>
        <v>0</v>
      </c>
      <c r="AE33" s="217">
        <f t="shared" si="111"/>
        <v>0</v>
      </c>
      <c r="AF33" s="217">
        <f t="shared" si="112"/>
        <v>0</v>
      </c>
      <c r="AG33" s="217">
        <f t="shared" si="113"/>
        <v>0</v>
      </c>
      <c r="AH33" s="217">
        <f t="shared" si="114"/>
        <v>0</v>
      </c>
      <c r="AI33" s="217">
        <f t="shared" si="115"/>
        <v>0</v>
      </c>
      <c r="AJ33" s="217">
        <f t="shared" si="136"/>
        <v>0</v>
      </c>
      <c r="AK33" s="218">
        <f t="shared" si="128"/>
        <v>0</v>
      </c>
      <c r="AL33" s="218">
        <f t="shared" si="122"/>
        <v>0</v>
      </c>
      <c r="AM33" s="218">
        <f t="shared" si="130"/>
        <v>0</v>
      </c>
      <c r="AN33" s="218">
        <f t="shared" si="126"/>
        <v>0</v>
      </c>
      <c r="AO33" s="218">
        <f t="shared" si="127"/>
        <v>0</v>
      </c>
      <c r="AP33" s="219">
        <f t="shared" si="123"/>
        <v>0</v>
      </c>
      <c r="AQ33" s="308">
        <v>4</v>
      </c>
      <c r="AR33" s="308">
        <v>12</v>
      </c>
      <c r="AS33" s="220">
        <v>1</v>
      </c>
      <c r="AT33" s="220">
        <v>12</v>
      </c>
      <c r="AU33" s="221">
        <f t="shared" si="61"/>
        <v>43313</v>
      </c>
      <c r="AV33" s="221">
        <f t="shared" si="62"/>
        <v>43617</v>
      </c>
      <c r="AW33" s="222">
        <f t="shared" si="117"/>
        <v>5.7099999999999998E-2</v>
      </c>
      <c r="AX33" s="222">
        <f t="shared" si="118"/>
        <v>9.64E-2</v>
      </c>
      <c r="AY33" s="219">
        <f t="shared" si="124"/>
        <v>0</v>
      </c>
      <c r="AZ33" s="219">
        <f t="shared" si="125"/>
        <v>0</v>
      </c>
      <c r="BA33" s="309"/>
      <c r="BB33" s="310"/>
      <c r="BC33" s="223" t="e">
        <f t="shared" si="119"/>
        <v>#DIV/0!</v>
      </c>
      <c r="BD33" s="224"/>
      <c r="BE33" s="225" t="e">
        <f t="shared" si="131"/>
        <v>#DIV/0!</v>
      </c>
      <c r="BF33" s="225" t="e">
        <f t="shared" si="132"/>
        <v>#DIV/0!</v>
      </c>
      <c r="BG33" s="225" t="e">
        <f t="shared" si="133"/>
        <v>#DIV/0!</v>
      </c>
      <c r="BH33" s="225" t="e">
        <f t="shared" si="134"/>
        <v>#DIV/0!</v>
      </c>
      <c r="BI33" s="225" t="e">
        <f t="shared" si="135"/>
        <v>#DIV/0!</v>
      </c>
      <c r="BJ33" s="226"/>
      <c r="BK33" s="307"/>
      <c r="BL33" s="307"/>
      <c r="BM33" s="307"/>
      <c r="BN33" s="307"/>
      <c r="BO33" s="307"/>
      <c r="BP33" s="307"/>
      <c r="BQ33" s="307"/>
      <c r="BR33" s="307"/>
      <c r="BS33" s="307"/>
      <c r="BT33" s="307"/>
      <c r="BU33" s="307"/>
      <c r="BV33" s="307"/>
      <c r="BW33" s="307"/>
      <c r="BX33" s="307"/>
      <c r="BY33" s="307"/>
      <c r="BZ33" s="307"/>
      <c r="CA33" s="307"/>
      <c r="CB33" s="307"/>
      <c r="CC33" s="307"/>
      <c r="CD33" s="307"/>
      <c r="CE33" s="307"/>
      <c r="CF33" s="307"/>
      <c r="CG33" s="307"/>
      <c r="CH33" s="307"/>
      <c r="CI33" s="307"/>
      <c r="CJ33" s="307"/>
      <c r="CK33" s="307"/>
      <c r="CL33" s="307"/>
      <c r="CM33" s="307"/>
      <c r="CN33" s="307"/>
      <c r="CO33" s="307"/>
      <c r="CP33" s="307"/>
      <c r="CQ33" s="307"/>
      <c r="CR33" s="307"/>
      <c r="CS33" s="307"/>
      <c r="CT33" s="307"/>
      <c r="CU33" s="307"/>
      <c r="CV33" s="307"/>
      <c r="CW33" s="307"/>
      <c r="CX33" s="307"/>
    </row>
    <row r="34" spans="1:102" s="229" customFormat="1" ht="22.5" hidden="1">
      <c r="A34" s="304">
        <f t="shared" si="102"/>
        <v>31</v>
      </c>
      <c r="B34" s="302"/>
      <c r="C34" s="371"/>
      <c r="D34" s="230"/>
      <c r="E34" s="231" t="s">
        <v>241</v>
      </c>
      <c r="F34" s="232"/>
      <c r="G34" s="305"/>
      <c r="H34" s="233" t="s">
        <v>106</v>
      </c>
      <c r="I34" s="306"/>
      <c r="J34" s="307"/>
      <c r="K34" s="307"/>
      <c r="L34" s="307"/>
      <c r="M34" s="307"/>
      <c r="N34" s="307"/>
      <c r="O34" s="216">
        <f t="shared" si="73"/>
        <v>0</v>
      </c>
      <c r="P34" s="307">
        <f t="shared" si="74"/>
        <v>0</v>
      </c>
      <c r="Q34" s="307"/>
      <c r="R34" s="307"/>
      <c r="S34" s="307"/>
      <c r="T34" s="216">
        <f t="shared" si="75"/>
        <v>0</v>
      </c>
      <c r="U34" s="217">
        <f t="shared" si="76"/>
        <v>0</v>
      </c>
      <c r="V34" s="217">
        <f t="shared" si="77"/>
        <v>0</v>
      </c>
      <c r="W34" s="307">
        <f t="shared" ref="W34:W93" si="137">ROUND(VLOOKUP(H34,рем_содер,7,0)*(P34+Q34+U34+V34),0)</f>
        <v>0</v>
      </c>
      <c r="X34" s="215"/>
      <c r="Y34" s="215"/>
      <c r="Z34" s="307"/>
      <c r="AA34" s="217">
        <f t="shared" ref="AA34:AA93" si="138">ROUND(VLOOKUP(H34,рем_содер,8,0)*SUM(P34,U34,X34),0)</f>
        <v>0</v>
      </c>
      <c r="AB34" s="217">
        <f t="shared" ref="AB34:AB93" si="139">ROUND(VLOOKUP(H34,рем_содер,8,0)*SUM(Q34,V34,Y34),0)</f>
        <v>0</v>
      </c>
      <c r="AC34" s="217">
        <f t="shared" ref="AC34:AC93" si="140">ROUND(VLOOKUP(H34,рем_содер,8,0)*R34,0)</f>
        <v>0</v>
      </c>
      <c r="AD34" s="217">
        <f t="shared" ref="AD34:AD93" si="141">ROUND(VLOOKUP(H34,рем_содер,8,0)*SUM(S34,W34,Z34),0)</f>
        <v>0</v>
      </c>
      <c r="AE34" s="217">
        <f t="shared" si="82"/>
        <v>0</v>
      </c>
      <c r="AF34" s="217">
        <f t="shared" si="83"/>
        <v>0</v>
      </c>
      <c r="AG34" s="217">
        <f t="shared" si="84"/>
        <v>0</v>
      </c>
      <c r="AH34" s="217">
        <f t="shared" si="85"/>
        <v>0</v>
      </c>
      <c r="AI34" s="217">
        <f t="shared" si="86"/>
        <v>0</v>
      </c>
      <c r="AJ34" s="217">
        <f t="shared" ref="AJ34" si="142">SUM(AF34:AI34)</f>
        <v>0</v>
      </c>
      <c r="AK34" s="218">
        <f t="shared" ref="AK34:AK40" si="143">AJ34</f>
        <v>0</v>
      </c>
      <c r="AL34" s="218">
        <f t="shared" ref="AL34:AL38" si="144">ROUND($AW34*$AK34,0)</f>
        <v>0</v>
      </c>
      <c r="AM34" s="218">
        <f t="shared" ref="AM34:AM41" si="145">ROUND(18%*SUM(AK34,AL34),0)</f>
        <v>0</v>
      </c>
      <c r="AN34" s="218">
        <f t="shared" ref="AN34:AN39" si="146">ROUND($AX34*($AJ34-$AK34),0)</f>
        <v>0</v>
      </c>
      <c r="AO34" s="218">
        <f t="shared" ref="AO34:AO39" si="147">ROUND(18%*(AJ34-AK34+AN34),0)</f>
        <v>0</v>
      </c>
      <c r="AP34" s="219">
        <f t="shared" ref="AP34:AP38" si="148">SUM(AJ34,AL34,AM34,AN34,AO34)</f>
        <v>0</v>
      </c>
      <c r="AQ34" s="308">
        <v>4</v>
      </c>
      <c r="AR34" s="308">
        <v>12</v>
      </c>
      <c r="AS34" s="220">
        <v>1</v>
      </c>
      <c r="AT34" s="220">
        <v>12</v>
      </c>
      <c r="AU34" s="221">
        <f t="shared" si="61"/>
        <v>43313</v>
      </c>
      <c r="AV34" s="221">
        <f t="shared" si="62"/>
        <v>43617</v>
      </c>
      <c r="AW34" s="222">
        <f t="shared" si="92"/>
        <v>5.7099999999999998E-2</v>
      </c>
      <c r="AX34" s="222">
        <f t="shared" si="93"/>
        <v>9.64E-2</v>
      </c>
      <c r="AY34" s="219">
        <f t="shared" ref="AY34:AY38" si="149">AK34+AL34+AM34</f>
        <v>0</v>
      </c>
      <c r="AZ34" s="219">
        <f t="shared" ref="AZ34:AZ38" si="150">IF(F34="да",AJ34-AK34+AN34+AO34,0)</f>
        <v>0</v>
      </c>
      <c r="BA34" s="309"/>
      <c r="BB34" s="310"/>
      <c r="BC34" s="223" t="e">
        <f t="shared" si="96"/>
        <v>#DIV/0!</v>
      </c>
      <c r="BD34" s="224"/>
      <c r="BE34" s="225" t="e">
        <f t="shared" si="131"/>
        <v>#DIV/0!</v>
      </c>
      <c r="BF34" s="225" t="e">
        <f t="shared" si="132"/>
        <v>#DIV/0!</v>
      </c>
      <c r="BG34" s="225" t="e">
        <f t="shared" si="133"/>
        <v>#DIV/0!</v>
      </c>
      <c r="BH34" s="225" t="e">
        <f t="shared" si="134"/>
        <v>#DIV/0!</v>
      </c>
      <c r="BI34" s="225" t="e">
        <f t="shared" si="135"/>
        <v>#DIV/0!</v>
      </c>
      <c r="BJ34" s="226"/>
      <c r="BK34" s="307"/>
      <c r="BL34" s="307"/>
      <c r="BM34" s="307"/>
      <c r="BN34" s="307"/>
      <c r="BO34" s="307"/>
      <c r="BP34" s="307"/>
      <c r="BQ34" s="307"/>
      <c r="BR34" s="307"/>
      <c r="BS34" s="307"/>
      <c r="BT34" s="307"/>
      <c r="BU34" s="307"/>
      <c r="BV34" s="307"/>
      <c r="BW34" s="307"/>
      <c r="BX34" s="307"/>
      <c r="BY34" s="307"/>
      <c r="BZ34" s="307"/>
      <c r="CA34" s="307"/>
      <c r="CB34" s="307"/>
      <c r="CC34" s="307"/>
      <c r="CD34" s="307"/>
      <c r="CE34" s="307"/>
      <c r="CF34" s="307"/>
      <c r="CG34" s="307"/>
      <c r="CH34" s="307"/>
      <c r="CI34" s="307"/>
      <c r="CJ34" s="307"/>
      <c r="CK34" s="307"/>
      <c r="CL34" s="307"/>
      <c r="CM34" s="307"/>
      <c r="CN34" s="307"/>
      <c r="CO34" s="307"/>
      <c r="CP34" s="307"/>
      <c r="CQ34" s="307"/>
      <c r="CR34" s="307"/>
      <c r="CS34" s="307"/>
      <c r="CT34" s="307"/>
      <c r="CU34" s="307"/>
      <c r="CV34" s="307"/>
      <c r="CW34" s="307"/>
      <c r="CX34" s="307"/>
    </row>
    <row r="35" spans="1:102" s="229" customFormat="1" ht="22.5" hidden="1">
      <c r="A35" s="304">
        <f t="shared" si="102"/>
        <v>32</v>
      </c>
      <c r="B35" s="302"/>
      <c r="C35" s="371"/>
      <c r="D35" s="230"/>
      <c r="E35" s="231" t="s">
        <v>241</v>
      </c>
      <c r="F35" s="232"/>
      <c r="G35" s="305"/>
      <c r="H35" s="233" t="s">
        <v>106</v>
      </c>
      <c r="I35" s="306"/>
      <c r="J35" s="307"/>
      <c r="K35" s="307"/>
      <c r="L35" s="307"/>
      <c r="M35" s="307"/>
      <c r="N35" s="307"/>
      <c r="O35" s="216">
        <f t="shared" si="73"/>
        <v>0</v>
      </c>
      <c r="P35" s="307">
        <f t="shared" si="74"/>
        <v>0</v>
      </c>
      <c r="Q35" s="307"/>
      <c r="R35" s="307"/>
      <c r="S35" s="307"/>
      <c r="T35" s="216">
        <f t="shared" si="75"/>
        <v>0</v>
      </c>
      <c r="U35" s="217">
        <f t="shared" si="76"/>
        <v>0</v>
      </c>
      <c r="V35" s="217">
        <f t="shared" si="77"/>
        <v>0</v>
      </c>
      <c r="W35" s="307">
        <f t="shared" si="137"/>
        <v>0</v>
      </c>
      <c r="X35" s="215"/>
      <c r="Y35" s="215"/>
      <c r="Z35" s="307"/>
      <c r="AA35" s="217">
        <f t="shared" si="138"/>
        <v>0</v>
      </c>
      <c r="AB35" s="217">
        <f t="shared" si="139"/>
        <v>0</v>
      </c>
      <c r="AC35" s="217">
        <f t="shared" si="140"/>
        <v>0</v>
      </c>
      <c r="AD35" s="217">
        <f t="shared" si="141"/>
        <v>0</v>
      </c>
      <c r="AE35" s="217">
        <f t="shared" si="82"/>
        <v>0</v>
      </c>
      <c r="AF35" s="217">
        <f t="shared" si="83"/>
        <v>0</v>
      </c>
      <c r="AG35" s="217">
        <f t="shared" si="84"/>
        <v>0</v>
      </c>
      <c r="AH35" s="217">
        <f t="shared" si="85"/>
        <v>0</v>
      </c>
      <c r="AI35" s="217">
        <f t="shared" si="86"/>
        <v>0</v>
      </c>
      <c r="AJ35" s="217">
        <f t="shared" ref="AJ35" si="151">SUM(AF35:AI35)</f>
        <v>0</v>
      </c>
      <c r="AK35" s="218">
        <f t="shared" si="143"/>
        <v>0</v>
      </c>
      <c r="AL35" s="218">
        <f t="shared" si="144"/>
        <v>0</v>
      </c>
      <c r="AM35" s="218">
        <f t="shared" si="145"/>
        <v>0</v>
      </c>
      <c r="AN35" s="218">
        <f t="shared" si="146"/>
        <v>0</v>
      </c>
      <c r="AO35" s="218">
        <f t="shared" si="147"/>
        <v>0</v>
      </c>
      <c r="AP35" s="219">
        <f t="shared" si="148"/>
        <v>0</v>
      </c>
      <c r="AQ35" s="308">
        <v>4</v>
      </c>
      <c r="AR35" s="308">
        <v>12</v>
      </c>
      <c r="AS35" s="220">
        <v>1</v>
      </c>
      <c r="AT35" s="220">
        <v>12</v>
      </c>
      <c r="AU35" s="221">
        <f t="shared" si="61"/>
        <v>43313</v>
      </c>
      <c r="AV35" s="221">
        <f t="shared" si="62"/>
        <v>43617</v>
      </c>
      <c r="AW35" s="222">
        <f t="shared" si="92"/>
        <v>5.7099999999999998E-2</v>
      </c>
      <c r="AX35" s="222">
        <f t="shared" si="93"/>
        <v>9.64E-2</v>
      </c>
      <c r="AY35" s="219">
        <f t="shared" si="149"/>
        <v>0</v>
      </c>
      <c r="AZ35" s="219">
        <f t="shared" si="150"/>
        <v>0</v>
      </c>
      <c r="BA35" s="309"/>
      <c r="BB35" s="310"/>
      <c r="BC35" s="223" t="e">
        <f t="shared" si="96"/>
        <v>#DIV/0!</v>
      </c>
      <c r="BD35" s="224"/>
      <c r="BE35" s="225" t="e">
        <f t="shared" si="131"/>
        <v>#DIV/0!</v>
      </c>
      <c r="BF35" s="225" t="e">
        <f t="shared" si="132"/>
        <v>#DIV/0!</v>
      </c>
      <c r="BG35" s="225" t="e">
        <f t="shared" si="133"/>
        <v>#DIV/0!</v>
      </c>
      <c r="BH35" s="225" t="e">
        <f t="shared" si="134"/>
        <v>#DIV/0!</v>
      </c>
      <c r="BI35" s="225" t="e">
        <f t="shared" si="135"/>
        <v>#DIV/0!</v>
      </c>
      <c r="BJ35" s="226"/>
      <c r="BK35" s="307"/>
      <c r="BL35" s="307"/>
      <c r="BM35" s="307"/>
      <c r="BN35" s="307"/>
      <c r="BO35" s="307"/>
      <c r="BP35" s="307"/>
      <c r="BQ35" s="307"/>
      <c r="BR35" s="307"/>
      <c r="BS35" s="307"/>
      <c r="BT35" s="307"/>
      <c r="BU35" s="307"/>
      <c r="BV35" s="307"/>
      <c r="BW35" s="307"/>
      <c r="BX35" s="307"/>
      <c r="BY35" s="307"/>
      <c r="BZ35" s="307"/>
      <c r="CA35" s="307"/>
      <c r="CB35" s="307"/>
      <c r="CC35" s="307"/>
      <c r="CD35" s="307"/>
      <c r="CE35" s="307"/>
      <c r="CF35" s="307"/>
      <c r="CG35" s="307"/>
      <c r="CH35" s="307"/>
      <c r="CI35" s="307"/>
      <c r="CJ35" s="307"/>
      <c r="CK35" s="307"/>
      <c r="CL35" s="307"/>
      <c r="CM35" s="307"/>
      <c r="CN35" s="307"/>
      <c r="CO35" s="307"/>
      <c r="CP35" s="307"/>
      <c r="CQ35" s="307"/>
      <c r="CR35" s="307"/>
      <c r="CS35" s="307"/>
      <c r="CT35" s="307"/>
      <c r="CU35" s="307"/>
      <c r="CV35" s="307"/>
      <c r="CW35" s="307"/>
      <c r="CX35" s="307"/>
    </row>
    <row r="36" spans="1:102" s="229" customFormat="1" ht="22.5" hidden="1">
      <c r="A36" s="304">
        <f t="shared" si="102"/>
        <v>33</v>
      </c>
      <c r="B36" s="302"/>
      <c r="C36" s="371"/>
      <c r="D36" s="230"/>
      <c r="E36" s="231" t="s">
        <v>241</v>
      </c>
      <c r="F36" s="232"/>
      <c r="G36" s="305"/>
      <c r="H36" s="233" t="s">
        <v>106</v>
      </c>
      <c r="I36" s="306"/>
      <c r="J36" s="307"/>
      <c r="K36" s="307"/>
      <c r="L36" s="307"/>
      <c r="M36" s="307"/>
      <c r="N36" s="307"/>
      <c r="O36" s="216">
        <f t="shared" si="73"/>
        <v>0</v>
      </c>
      <c r="P36" s="307">
        <f t="shared" si="74"/>
        <v>0</v>
      </c>
      <c r="Q36" s="307"/>
      <c r="R36" s="307"/>
      <c r="S36" s="307"/>
      <c r="T36" s="216">
        <f t="shared" si="75"/>
        <v>0</v>
      </c>
      <c r="U36" s="217">
        <f t="shared" si="76"/>
        <v>0</v>
      </c>
      <c r="V36" s="217">
        <f t="shared" si="77"/>
        <v>0</v>
      </c>
      <c r="W36" s="307">
        <f t="shared" si="137"/>
        <v>0</v>
      </c>
      <c r="X36" s="215"/>
      <c r="Y36" s="215"/>
      <c r="Z36" s="307"/>
      <c r="AA36" s="217">
        <f t="shared" si="138"/>
        <v>0</v>
      </c>
      <c r="AB36" s="217">
        <f t="shared" si="139"/>
        <v>0</v>
      </c>
      <c r="AC36" s="217">
        <f t="shared" si="140"/>
        <v>0</v>
      </c>
      <c r="AD36" s="217">
        <f t="shared" si="141"/>
        <v>0</v>
      </c>
      <c r="AE36" s="217">
        <f t="shared" si="82"/>
        <v>0</v>
      </c>
      <c r="AF36" s="217">
        <f t="shared" ref="AF36:AF93" si="152">P36+U36+X36+AA36</f>
        <v>0</v>
      </c>
      <c r="AG36" s="217">
        <f t="shared" ref="AG36:AG93" si="153">Q36+V36+Y36+AB36</f>
        <v>0</v>
      </c>
      <c r="AH36" s="217">
        <f t="shared" ref="AH36:AH93" si="154">R36+AC36</f>
        <v>0</v>
      </c>
      <c r="AI36" s="217">
        <f t="shared" ref="AI36:AI93" si="155">S36+W36+Z36+AD36</f>
        <v>0</v>
      </c>
      <c r="AJ36" s="217">
        <f t="shared" ref="AJ36:AJ42" si="156">SUM(AF36:AI36)</f>
        <v>0</v>
      </c>
      <c r="AK36" s="218">
        <f t="shared" si="143"/>
        <v>0</v>
      </c>
      <c r="AL36" s="218">
        <f t="shared" si="144"/>
        <v>0</v>
      </c>
      <c r="AM36" s="218">
        <f t="shared" si="145"/>
        <v>0</v>
      </c>
      <c r="AN36" s="218">
        <f t="shared" si="146"/>
        <v>0</v>
      </c>
      <c r="AO36" s="218">
        <f t="shared" si="147"/>
        <v>0</v>
      </c>
      <c r="AP36" s="219">
        <f t="shared" si="148"/>
        <v>0</v>
      </c>
      <c r="AQ36" s="308">
        <v>4</v>
      </c>
      <c r="AR36" s="308">
        <v>12</v>
      </c>
      <c r="AS36" s="220">
        <v>1</v>
      </c>
      <c r="AT36" s="220">
        <v>12</v>
      </c>
      <c r="AU36" s="221">
        <f t="shared" si="61"/>
        <v>43313</v>
      </c>
      <c r="AV36" s="221">
        <f t="shared" si="62"/>
        <v>43617</v>
      </c>
      <c r="AW36" s="222">
        <f t="shared" si="92"/>
        <v>5.7099999999999998E-2</v>
      </c>
      <c r="AX36" s="222">
        <f t="shared" si="93"/>
        <v>9.64E-2</v>
      </c>
      <c r="AY36" s="219">
        <f t="shared" si="149"/>
        <v>0</v>
      </c>
      <c r="AZ36" s="219">
        <f t="shared" si="150"/>
        <v>0</v>
      </c>
      <c r="BA36" s="309"/>
      <c r="BB36" s="310"/>
      <c r="BC36" s="223" t="e">
        <f t="shared" ref="BC36:BC93" si="157">ROUND(AP36/BA36,0)</f>
        <v>#DIV/0!</v>
      </c>
      <c r="BD36" s="224"/>
      <c r="BE36" s="225" t="e">
        <f t="shared" si="131"/>
        <v>#DIV/0!</v>
      </c>
      <c r="BF36" s="225" t="e">
        <f t="shared" si="132"/>
        <v>#DIV/0!</v>
      </c>
      <c r="BG36" s="225" t="e">
        <f t="shared" si="133"/>
        <v>#DIV/0!</v>
      </c>
      <c r="BH36" s="225" t="e">
        <f t="shared" si="134"/>
        <v>#DIV/0!</v>
      </c>
      <c r="BI36" s="225" t="e">
        <f t="shared" si="135"/>
        <v>#DIV/0!</v>
      </c>
      <c r="BJ36" s="226"/>
      <c r="BK36" s="307"/>
      <c r="BL36" s="307"/>
      <c r="BM36" s="307"/>
      <c r="BN36" s="307"/>
      <c r="BO36" s="307"/>
      <c r="BP36" s="307"/>
      <c r="BQ36" s="307"/>
      <c r="BR36" s="307"/>
      <c r="BS36" s="307"/>
      <c r="BT36" s="307"/>
      <c r="BU36" s="307"/>
      <c r="BV36" s="307"/>
      <c r="BW36" s="307"/>
      <c r="BX36" s="307"/>
      <c r="BY36" s="307"/>
      <c r="BZ36" s="307"/>
      <c r="CA36" s="307"/>
      <c r="CB36" s="307"/>
      <c r="CC36" s="307"/>
      <c r="CD36" s="307"/>
      <c r="CE36" s="307"/>
      <c r="CF36" s="307"/>
      <c r="CG36" s="307"/>
      <c r="CH36" s="307"/>
      <c r="CI36" s="307"/>
      <c r="CJ36" s="307"/>
      <c r="CK36" s="307"/>
      <c r="CL36" s="307"/>
      <c r="CM36" s="307"/>
      <c r="CN36" s="307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</row>
    <row r="37" spans="1:102" s="229" customFormat="1" ht="22.5" hidden="1">
      <c r="A37" s="304">
        <f t="shared" si="102"/>
        <v>34</v>
      </c>
      <c r="B37" s="302"/>
      <c r="C37" s="371"/>
      <c r="D37" s="230"/>
      <c r="E37" s="231" t="s">
        <v>241</v>
      </c>
      <c r="F37" s="232"/>
      <c r="G37" s="305"/>
      <c r="H37" s="233" t="s">
        <v>106</v>
      </c>
      <c r="I37" s="306"/>
      <c r="J37" s="307"/>
      <c r="K37" s="307"/>
      <c r="L37" s="307"/>
      <c r="M37" s="307"/>
      <c r="N37" s="307"/>
      <c r="O37" s="216">
        <f t="shared" si="73"/>
        <v>0</v>
      </c>
      <c r="P37" s="307">
        <f t="shared" si="74"/>
        <v>0</v>
      </c>
      <c r="Q37" s="307"/>
      <c r="R37" s="307"/>
      <c r="S37" s="307"/>
      <c r="T37" s="216">
        <f t="shared" si="75"/>
        <v>0</v>
      </c>
      <c r="U37" s="217">
        <f t="shared" si="76"/>
        <v>0</v>
      </c>
      <c r="V37" s="217">
        <f t="shared" si="77"/>
        <v>0</v>
      </c>
      <c r="W37" s="307">
        <f t="shared" si="137"/>
        <v>0</v>
      </c>
      <c r="X37" s="215"/>
      <c r="Y37" s="215"/>
      <c r="Z37" s="307"/>
      <c r="AA37" s="217">
        <f t="shared" si="138"/>
        <v>0</v>
      </c>
      <c r="AB37" s="217">
        <f t="shared" si="139"/>
        <v>0</v>
      </c>
      <c r="AC37" s="217">
        <f t="shared" si="140"/>
        <v>0</v>
      </c>
      <c r="AD37" s="217">
        <f t="shared" si="141"/>
        <v>0</v>
      </c>
      <c r="AE37" s="217">
        <f t="shared" si="82"/>
        <v>0</v>
      </c>
      <c r="AF37" s="217">
        <f t="shared" si="152"/>
        <v>0</v>
      </c>
      <c r="AG37" s="217">
        <f t="shared" si="153"/>
        <v>0</v>
      </c>
      <c r="AH37" s="217">
        <f t="shared" si="154"/>
        <v>0</v>
      </c>
      <c r="AI37" s="217">
        <f t="shared" si="155"/>
        <v>0</v>
      </c>
      <c r="AJ37" s="217">
        <f t="shared" si="156"/>
        <v>0</v>
      </c>
      <c r="AK37" s="218">
        <f t="shared" si="143"/>
        <v>0</v>
      </c>
      <c r="AL37" s="218">
        <f t="shared" si="144"/>
        <v>0</v>
      </c>
      <c r="AM37" s="218">
        <f t="shared" si="145"/>
        <v>0</v>
      </c>
      <c r="AN37" s="218">
        <f t="shared" si="146"/>
        <v>0</v>
      </c>
      <c r="AO37" s="218">
        <f t="shared" si="147"/>
        <v>0</v>
      </c>
      <c r="AP37" s="219">
        <f t="shared" si="148"/>
        <v>0</v>
      </c>
      <c r="AQ37" s="308">
        <v>4</v>
      </c>
      <c r="AR37" s="308">
        <v>12</v>
      </c>
      <c r="AS37" s="220">
        <v>1</v>
      </c>
      <c r="AT37" s="220">
        <v>12</v>
      </c>
      <c r="AU37" s="221">
        <f>DATE($AW$1,ROUNDDOWN(($AQ37+$AR37)/2,0),1)</f>
        <v>43313</v>
      </c>
      <c r="AV37" s="221">
        <f>DATE($AX$1,ROUNDDOWN(($AS37+$AT37)/2,0),1)</f>
        <v>43617</v>
      </c>
      <c r="AW37" s="222">
        <f t="shared" si="92"/>
        <v>5.7099999999999998E-2</v>
      </c>
      <c r="AX37" s="222">
        <f t="shared" si="93"/>
        <v>9.64E-2</v>
      </c>
      <c r="AY37" s="219">
        <f t="shared" si="149"/>
        <v>0</v>
      </c>
      <c r="AZ37" s="219">
        <f t="shared" si="150"/>
        <v>0</v>
      </c>
      <c r="BA37" s="309"/>
      <c r="BB37" s="310"/>
      <c r="BC37" s="223" t="e">
        <f t="shared" si="157"/>
        <v>#DIV/0!</v>
      </c>
      <c r="BD37" s="224"/>
      <c r="BE37" s="225" t="e">
        <f t="shared" si="131"/>
        <v>#DIV/0!</v>
      </c>
      <c r="BF37" s="225" t="e">
        <f t="shared" si="132"/>
        <v>#DIV/0!</v>
      </c>
      <c r="BG37" s="225" t="e">
        <f t="shared" si="133"/>
        <v>#DIV/0!</v>
      </c>
      <c r="BH37" s="225" t="e">
        <f t="shared" si="134"/>
        <v>#DIV/0!</v>
      </c>
      <c r="BI37" s="225" t="e">
        <f t="shared" si="135"/>
        <v>#DIV/0!</v>
      </c>
      <c r="BJ37" s="226"/>
      <c r="BK37" s="307"/>
      <c r="BL37" s="307"/>
      <c r="BM37" s="307"/>
      <c r="BN37" s="307"/>
      <c r="BO37" s="307"/>
      <c r="BP37" s="307"/>
      <c r="BQ37" s="307"/>
      <c r="BR37" s="307"/>
      <c r="BS37" s="307"/>
      <c r="BT37" s="307"/>
      <c r="BU37" s="307"/>
      <c r="BV37" s="307"/>
      <c r="BW37" s="307"/>
      <c r="BX37" s="307"/>
      <c r="BY37" s="307"/>
      <c r="BZ37" s="307"/>
      <c r="CA37" s="307"/>
      <c r="CB37" s="307"/>
      <c r="CC37" s="307"/>
      <c r="CD37" s="307"/>
      <c r="CE37" s="307"/>
      <c r="CF37" s="307"/>
      <c r="CG37" s="307"/>
      <c r="CH37" s="307"/>
      <c r="CI37" s="307"/>
      <c r="CJ37" s="307"/>
      <c r="CK37" s="307"/>
      <c r="CL37" s="307"/>
      <c r="CM37" s="307"/>
      <c r="CN37" s="307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</row>
    <row r="38" spans="1:102" s="229" customFormat="1" ht="22.5" hidden="1">
      <c r="A38" s="304">
        <f t="shared" si="102"/>
        <v>35</v>
      </c>
      <c r="B38" s="302"/>
      <c r="C38" s="371"/>
      <c r="D38" s="230"/>
      <c r="E38" s="231" t="s">
        <v>241</v>
      </c>
      <c r="F38" s="232"/>
      <c r="G38" s="305"/>
      <c r="H38" s="233" t="s">
        <v>106</v>
      </c>
      <c r="I38" s="306"/>
      <c r="J38" s="307"/>
      <c r="K38" s="307"/>
      <c r="L38" s="307"/>
      <c r="M38" s="307"/>
      <c r="N38" s="307"/>
      <c r="O38" s="216">
        <f t="shared" si="73"/>
        <v>0</v>
      </c>
      <c r="P38" s="307">
        <f t="shared" si="74"/>
        <v>0</v>
      </c>
      <c r="Q38" s="307"/>
      <c r="R38" s="307"/>
      <c r="S38" s="307"/>
      <c r="T38" s="216">
        <f t="shared" si="75"/>
        <v>0</v>
      </c>
      <c r="U38" s="217">
        <f t="shared" si="76"/>
        <v>0</v>
      </c>
      <c r="V38" s="217">
        <f t="shared" si="77"/>
        <v>0</v>
      </c>
      <c r="W38" s="307">
        <f t="shared" si="137"/>
        <v>0</v>
      </c>
      <c r="X38" s="215"/>
      <c r="Y38" s="215"/>
      <c r="Z38" s="307"/>
      <c r="AA38" s="217">
        <f t="shared" si="138"/>
        <v>0</v>
      </c>
      <c r="AB38" s="217">
        <f t="shared" si="139"/>
        <v>0</v>
      </c>
      <c r="AC38" s="217">
        <f t="shared" si="140"/>
        <v>0</v>
      </c>
      <c r="AD38" s="217">
        <f t="shared" si="141"/>
        <v>0</v>
      </c>
      <c r="AE38" s="217">
        <f t="shared" si="82"/>
        <v>0</v>
      </c>
      <c r="AF38" s="217">
        <f t="shared" si="152"/>
        <v>0</v>
      </c>
      <c r="AG38" s="217">
        <f t="shared" si="153"/>
        <v>0</v>
      </c>
      <c r="AH38" s="217">
        <f t="shared" si="154"/>
        <v>0</v>
      </c>
      <c r="AI38" s="217">
        <f t="shared" si="155"/>
        <v>0</v>
      </c>
      <c r="AJ38" s="217">
        <f t="shared" si="156"/>
        <v>0</v>
      </c>
      <c r="AK38" s="218">
        <f t="shared" si="143"/>
        <v>0</v>
      </c>
      <c r="AL38" s="218">
        <f t="shared" si="144"/>
        <v>0</v>
      </c>
      <c r="AM38" s="218">
        <f t="shared" si="145"/>
        <v>0</v>
      </c>
      <c r="AN38" s="218">
        <f t="shared" si="146"/>
        <v>0</v>
      </c>
      <c r="AO38" s="218">
        <f t="shared" si="147"/>
        <v>0</v>
      </c>
      <c r="AP38" s="219">
        <f t="shared" si="148"/>
        <v>0</v>
      </c>
      <c r="AQ38" s="308">
        <v>4</v>
      </c>
      <c r="AR38" s="308">
        <v>12</v>
      </c>
      <c r="AS38" s="220">
        <v>1</v>
      </c>
      <c r="AT38" s="220">
        <v>12</v>
      </c>
      <c r="AU38" s="221">
        <f t="shared" si="61"/>
        <v>43313</v>
      </c>
      <c r="AV38" s="221">
        <f t="shared" si="62"/>
        <v>43617</v>
      </c>
      <c r="AW38" s="222">
        <f t="shared" si="92"/>
        <v>5.7099999999999998E-2</v>
      </c>
      <c r="AX38" s="222">
        <f t="shared" si="93"/>
        <v>9.64E-2</v>
      </c>
      <c r="AY38" s="219">
        <f t="shared" si="149"/>
        <v>0</v>
      </c>
      <c r="AZ38" s="219">
        <f t="shared" si="150"/>
        <v>0</v>
      </c>
      <c r="BA38" s="309"/>
      <c r="BB38" s="310"/>
      <c r="BC38" s="223" t="e">
        <f t="shared" si="157"/>
        <v>#DIV/0!</v>
      </c>
      <c r="BD38" s="224"/>
      <c r="BE38" s="225" t="e">
        <f t="shared" si="131"/>
        <v>#DIV/0!</v>
      </c>
      <c r="BF38" s="225" t="e">
        <f t="shared" si="132"/>
        <v>#DIV/0!</v>
      </c>
      <c r="BG38" s="225" t="e">
        <f t="shared" si="133"/>
        <v>#DIV/0!</v>
      </c>
      <c r="BH38" s="225" t="e">
        <f t="shared" si="134"/>
        <v>#DIV/0!</v>
      </c>
      <c r="BI38" s="225" t="e">
        <f t="shared" si="135"/>
        <v>#DIV/0!</v>
      </c>
      <c r="BJ38" s="226"/>
      <c r="BK38" s="307"/>
      <c r="BL38" s="307"/>
      <c r="BM38" s="307"/>
      <c r="BN38" s="307"/>
      <c r="BO38" s="307"/>
      <c r="BP38" s="307"/>
      <c r="BQ38" s="307"/>
      <c r="BR38" s="307"/>
      <c r="BS38" s="307"/>
      <c r="BT38" s="307"/>
      <c r="BU38" s="307"/>
      <c r="BV38" s="307"/>
      <c r="BW38" s="307"/>
      <c r="BX38" s="307"/>
      <c r="BY38" s="307"/>
      <c r="BZ38" s="307"/>
      <c r="CA38" s="307"/>
      <c r="CB38" s="307"/>
      <c r="CC38" s="307"/>
      <c r="CD38" s="307"/>
      <c r="CE38" s="307"/>
      <c r="CF38" s="307"/>
      <c r="CG38" s="307"/>
      <c r="CH38" s="307"/>
      <c r="CI38" s="307"/>
      <c r="CJ38" s="307"/>
      <c r="CK38" s="307"/>
      <c r="CL38" s="307"/>
      <c r="CM38" s="307"/>
      <c r="CN38" s="307"/>
      <c r="CO38" s="307"/>
      <c r="CP38" s="307"/>
      <c r="CQ38" s="307"/>
      <c r="CR38" s="307"/>
      <c r="CS38" s="307"/>
      <c r="CT38" s="307"/>
      <c r="CU38" s="307"/>
      <c r="CV38" s="307"/>
      <c r="CW38" s="307"/>
      <c r="CX38" s="307"/>
    </row>
    <row r="39" spans="1:102" s="229" customFormat="1" ht="22.5" hidden="1">
      <c r="A39" s="304">
        <f t="shared" si="102"/>
        <v>36</v>
      </c>
      <c r="B39" s="302"/>
      <c r="C39" s="371"/>
      <c r="D39" s="230"/>
      <c r="E39" s="231" t="s">
        <v>241</v>
      </c>
      <c r="F39" s="232"/>
      <c r="G39" s="305"/>
      <c r="H39" s="233" t="s">
        <v>106</v>
      </c>
      <c r="I39" s="306"/>
      <c r="J39" s="307"/>
      <c r="K39" s="307"/>
      <c r="L39" s="307"/>
      <c r="M39" s="307"/>
      <c r="N39" s="307"/>
      <c r="O39" s="216">
        <f t="shared" si="73"/>
        <v>0</v>
      </c>
      <c r="P39" s="307">
        <f t="shared" si="74"/>
        <v>0</v>
      </c>
      <c r="Q39" s="307"/>
      <c r="R39" s="307"/>
      <c r="S39" s="307"/>
      <c r="T39" s="216">
        <f t="shared" si="75"/>
        <v>0</v>
      </c>
      <c r="U39" s="217">
        <f t="shared" si="76"/>
        <v>0</v>
      </c>
      <c r="V39" s="217">
        <f t="shared" si="77"/>
        <v>0</v>
      </c>
      <c r="W39" s="307">
        <f t="shared" si="137"/>
        <v>0</v>
      </c>
      <c r="X39" s="215"/>
      <c r="Y39" s="215"/>
      <c r="Z39" s="307"/>
      <c r="AA39" s="217">
        <f t="shared" si="138"/>
        <v>0</v>
      </c>
      <c r="AB39" s="217">
        <f t="shared" si="139"/>
        <v>0</v>
      </c>
      <c r="AC39" s="217">
        <f t="shared" si="140"/>
        <v>0</v>
      </c>
      <c r="AD39" s="217">
        <f t="shared" si="141"/>
        <v>0</v>
      </c>
      <c r="AE39" s="217">
        <f t="shared" si="82"/>
        <v>0</v>
      </c>
      <c r="AF39" s="217">
        <f t="shared" si="152"/>
        <v>0</v>
      </c>
      <c r="AG39" s="217">
        <f t="shared" si="153"/>
        <v>0</v>
      </c>
      <c r="AH39" s="217">
        <f t="shared" si="154"/>
        <v>0</v>
      </c>
      <c r="AI39" s="217">
        <f t="shared" si="155"/>
        <v>0</v>
      </c>
      <c r="AJ39" s="217">
        <f t="shared" si="156"/>
        <v>0</v>
      </c>
      <c r="AK39" s="218">
        <f t="shared" si="143"/>
        <v>0</v>
      </c>
      <c r="AL39" s="218">
        <f t="shared" ref="AL39:AL93" si="158">ROUND($AW39*$AK39,0)</f>
        <v>0</v>
      </c>
      <c r="AM39" s="218">
        <f t="shared" si="145"/>
        <v>0</v>
      </c>
      <c r="AN39" s="218">
        <f t="shared" si="146"/>
        <v>0</v>
      </c>
      <c r="AO39" s="218">
        <f t="shared" si="147"/>
        <v>0</v>
      </c>
      <c r="AP39" s="219">
        <f t="shared" ref="AP39:AP93" si="159">SUM(AJ39,AL39,AM39,AN39,AO39)</f>
        <v>0</v>
      </c>
      <c r="AQ39" s="308">
        <v>4</v>
      </c>
      <c r="AR39" s="308">
        <v>12</v>
      </c>
      <c r="AS39" s="220">
        <v>1</v>
      </c>
      <c r="AT39" s="220">
        <v>12</v>
      </c>
      <c r="AU39" s="221">
        <f t="shared" si="61"/>
        <v>43313</v>
      </c>
      <c r="AV39" s="221">
        <f t="shared" si="62"/>
        <v>43617</v>
      </c>
      <c r="AW39" s="222">
        <f t="shared" si="92"/>
        <v>5.7099999999999998E-2</v>
      </c>
      <c r="AX39" s="222">
        <f t="shared" si="93"/>
        <v>9.64E-2</v>
      </c>
      <c r="AY39" s="219">
        <f t="shared" ref="AY39:AY93" si="160">AK39+AL39+AM39</f>
        <v>0</v>
      </c>
      <c r="AZ39" s="219">
        <f t="shared" ref="AZ39:AZ93" si="161">IF(F39="да",AJ39-AK39+AN39+AO39,0)</f>
        <v>0</v>
      </c>
      <c r="BA39" s="309"/>
      <c r="BB39" s="310"/>
      <c r="BC39" s="223" t="e">
        <f t="shared" si="157"/>
        <v>#DIV/0!</v>
      </c>
      <c r="BD39" s="224"/>
      <c r="BE39" s="225" t="e">
        <f t="shared" si="131"/>
        <v>#DIV/0!</v>
      </c>
      <c r="BF39" s="225" t="e">
        <f t="shared" si="132"/>
        <v>#DIV/0!</v>
      </c>
      <c r="BG39" s="225" t="e">
        <f t="shared" si="133"/>
        <v>#DIV/0!</v>
      </c>
      <c r="BH39" s="225" t="e">
        <f t="shared" si="134"/>
        <v>#DIV/0!</v>
      </c>
      <c r="BI39" s="225" t="e">
        <f t="shared" si="135"/>
        <v>#DIV/0!</v>
      </c>
      <c r="BJ39" s="226"/>
      <c r="BK39" s="307"/>
      <c r="BL39" s="307"/>
      <c r="BM39" s="307"/>
      <c r="BN39" s="307"/>
      <c r="BO39" s="307"/>
      <c r="BP39" s="307"/>
      <c r="BQ39" s="307"/>
      <c r="BR39" s="307"/>
      <c r="BS39" s="307"/>
      <c r="BT39" s="307"/>
      <c r="BU39" s="307"/>
      <c r="BV39" s="307"/>
      <c r="BW39" s="307"/>
      <c r="BX39" s="307"/>
      <c r="BY39" s="307"/>
      <c r="BZ39" s="307"/>
      <c r="CA39" s="307"/>
      <c r="CB39" s="307"/>
      <c r="CC39" s="307"/>
      <c r="CD39" s="307"/>
      <c r="CE39" s="307"/>
      <c r="CF39" s="307"/>
      <c r="CG39" s="307"/>
      <c r="CH39" s="307"/>
      <c r="CI39" s="307"/>
      <c r="CJ39" s="307"/>
      <c r="CK39" s="307"/>
      <c r="CL39" s="307"/>
      <c r="CM39" s="307"/>
      <c r="CN39" s="307"/>
      <c r="CO39" s="307"/>
      <c r="CP39" s="307"/>
      <c r="CQ39" s="307"/>
      <c r="CR39" s="307"/>
      <c r="CS39" s="307"/>
      <c r="CT39" s="307"/>
      <c r="CU39" s="307"/>
      <c r="CV39" s="307"/>
      <c r="CW39" s="307"/>
      <c r="CX39" s="307"/>
    </row>
    <row r="40" spans="1:102" s="229" customFormat="1" ht="22.5" hidden="1">
      <c r="A40" s="304">
        <f t="shared" si="102"/>
        <v>37</v>
      </c>
      <c r="B40" s="302"/>
      <c r="C40" s="371"/>
      <c r="D40" s="230"/>
      <c r="E40" s="231" t="s">
        <v>241</v>
      </c>
      <c r="F40" s="232"/>
      <c r="G40" s="305"/>
      <c r="H40" s="233" t="s">
        <v>106</v>
      </c>
      <c r="I40" s="306"/>
      <c r="J40" s="307"/>
      <c r="K40" s="307"/>
      <c r="L40" s="307"/>
      <c r="M40" s="307"/>
      <c r="N40" s="307"/>
      <c r="O40" s="216">
        <f t="shared" si="73"/>
        <v>0</v>
      </c>
      <c r="P40" s="307">
        <f t="shared" si="74"/>
        <v>0</v>
      </c>
      <c r="Q40" s="307"/>
      <c r="R40" s="307"/>
      <c r="S40" s="307"/>
      <c r="T40" s="216">
        <f t="shared" si="75"/>
        <v>0</v>
      </c>
      <c r="U40" s="217">
        <f t="shared" si="76"/>
        <v>0</v>
      </c>
      <c r="V40" s="217">
        <f t="shared" si="77"/>
        <v>0</v>
      </c>
      <c r="W40" s="307">
        <f t="shared" si="137"/>
        <v>0</v>
      </c>
      <c r="X40" s="215"/>
      <c r="Y40" s="215"/>
      <c r="Z40" s="307"/>
      <c r="AA40" s="217">
        <f t="shared" si="138"/>
        <v>0</v>
      </c>
      <c r="AB40" s="217">
        <f t="shared" si="139"/>
        <v>0</v>
      </c>
      <c r="AC40" s="217">
        <f t="shared" si="140"/>
        <v>0</v>
      </c>
      <c r="AD40" s="217">
        <f t="shared" si="141"/>
        <v>0</v>
      </c>
      <c r="AE40" s="217">
        <f t="shared" si="82"/>
        <v>0</v>
      </c>
      <c r="AF40" s="217">
        <f t="shared" si="152"/>
        <v>0</v>
      </c>
      <c r="AG40" s="217">
        <f t="shared" si="153"/>
        <v>0</v>
      </c>
      <c r="AH40" s="217">
        <f t="shared" si="154"/>
        <v>0</v>
      </c>
      <c r="AI40" s="217">
        <f t="shared" si="155"/>
        <v>0</v>
      </c>
      <c r="AJ40" s="217">
        <f t="shared" si="156"/>
        <v>0</v>
      </c>
      <c r="AK40" s="218">
        <f t="shared" si="143"/>
        <v>0</v>
      </c>
      <c r="AL40" s="218">
        <f t="shared" si="158"/>
        <v>0</v>
      </c>
      <c r="AM40" s="218">
        <f t="shared" si="145"/>
        <v>0</v>
      </c>
      <c r="AN40" s="218">
        <f t="shared" ref="AN40:AN93" si="162">ROUND($AX40*($AJ40-$AK40),0)</f>
        <v>0</v>
      </c>
      <c r="AO40" s="218">
        <f t="shared" ref="AO40:AO93" si="163">ROUND(18%*(AJ40-AK40+AN40),0)</f>
        <v>0</v>
      </c>
      <c r="AP40" s="219">
        <f t="shared" si="159"/>
        <v>0</v>
      </c>
      <c r="AQ40" s="308">
        <v>4</v>
      </c>
      <c r="AR40" s="308">
        <v>12</v>
      </c>
      <c r="AS40" s="220">
        <v>1</v>
      </c>
      <c r="AT40" s="220">
        <v>12</v>
      </c>
      <c r="AU40" s="221">
        <f t="shared" si="61"/>
        <v>43313</v>
      </c>
      <c r="AV40" s="221">
        <f t="shared" si="62"/>
        <v>43617</v>
      </c>
      <c r="AW40" s="222">
        <f t="shared" si="92"/>
        <v>5.7099999999999998E-2</v>
      </c>
      <c r="AX40" s="222">
        <f t="shared" si="93"/>
        <v>9.64E-2</v>
      </c>
      <c r="AY40" s="219">
        <f t="shared" si="160"/>
        <v>0</v>
      </c>
      <c r="AZ40" s="219">
        <f t="shared" si="161"/>
        <v>0</v>
      </c>
      <c r="BA40" s="309"/>
      <c r="BB40" s="310"/>
      <c r="BC40" s="223" t="e">
        <f t="shared" si="157"/>
        <v>#DIV/0!</v>
      </c>
      <c r="BD40" s="224"/>
      <c r="BE40" s="225" t="e">
        <f t="shared" si="131"/>
        <v>#DIV/0!</v>
      </c>
      <c r="BF40" s="225" t="e">
        <f t="shared" si="132"/>
        <v>#DIV/0!</v>
      </c>
      <c r="BG40" s="225" t="e">
        <f t="shared" si="133"/>
        <v>#DIV/0!</v>
      </c>
      <c r="BH40" s="225" t="e">
        <f t="shared" si="134"/>
        <v>#DIV/0!</v>
      </c>
      <c r="BI40" s="225" t="e">
        <f t="shared" si="135"/>
        <v>#DIV/0!</v>
      </c>
      <c r="BJ40" s="226"/>
      <c r="BK40" s="307"/>
      <c r="BL40" s="307"/>
      <c r="BM40" s="307"/>
      <c r="BN40" s="307"/>
      <c r="BO40" s="307"/>
      <c r="BP40" s="307"/>
      <c r="BQ40" s="307"/>
      <c r="BR40" s="307"/>
      <c r="BS40" s="307"/>
      <c r="BT40" s="307"/>
      <c r="BU40" s="307"/>
      <c r="BV40" s="307"/>
      <c r="BW40" s="307"/>
      <c r="BX40" s="307"/>
      <c r="BY40" s="307"/>
      <c r="BZ40" s="307"/>
      <c r="CA40" s="307"/>
      <c r="CB40" s="307"/>
      <c r="CC40" s="307"/>
      <c r="CD40" s="307"/>
      <c r="CE40" s="307"/>
      <c r="CF40" s="307"/>
      <c r="CG40" s="307"/>
      <c r="CH40" s="307"/>
      <c r="CI40" s="307"/>
      <c r="CJ40" s="307"/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7"/>
      <c r="CX40" s="307"/>
    </row>
    <row r="41" spans="1:102" s="229" customFormat="1" ht="22.5" hidden="1">
      <c r="A41" s="304">
        <f t="shared" si="102"/>
        <v>38</v>
      </c>
      <c r="B41" s="302"/>
      <c r="C41" s="371"/>
      <c r="D41" s="230"/>
      <c r="E41" s="231" t="s">
        <v>241</v>
      </c>
      <c r="F41" s="232"/>
      <c r="G41" s="305"/>
      <c r="H41" s="233" t="s">
        <v>106</v>
      </c>
      <c r="I41" s="306"/>
      <c r="J41" s="307"/>
      <c r="K41" s="307"/>
      <c r="L41" s="307"/>
      <c r="M41" s="307"/>
      <c r="N41" s="307"/>
      <c r="O41" s="216">
        <f t="shared" si="73"/>
        <v>0</v>
      </c>
      <c r="P41" s="307">
        <f t="shared" si="74"/>
        <v>0</v>
      </c>
      <c r="Q41" s="307"/>
      <c r="R41" s="307"/>
      <c r="S41" s="307"/>
      <c r="T41" s="216">
        <f t="shared" si="75"/>
        <v>0</v>
      </c>
      <c r="U41" s="217">
        <f t="shared" si="76"/>
        <v>0</v>
      </c>
      <c r="V41" s="217">
        <f t="shared" si="77"/>
        <v>0</v>
      </c>
      <c r="W41" s="307">
        <f t="shared" si="137"/>
        <v>0</v>
      </c>
      <c r="X41" s="215"/>
      <c r="Y41" s="215"/>
      <c r="Z41" s="307"/>
      <c r="AA41" s="217">
        <f t="shared" si="138"/>
        <v>0</v>
      </c>
      <c r="AB41" s="217">
        <f t="shared" si="139"/>
        <v>0</v>
      </c>
      <c r="AC41" s="217">
        <f t="shared" si="140"/>
        <v>0</v>
      </c>
      <c r="AD41" s="217">
        <f t="shared" si="141"/>
        <v>0</v>
      </c>
      <c r="AE41" s="217">
        <f t="shared" si="82"/>
        <v>0</v>
      </c>
      <c r="AF41" s="217">
        <f t="shared" si="152"/>
        <v>0</v>
      </c>
      <c r="AG41" s="217">
        <f t="shared" si="153"/>
        <v>0</v>
      </c>
      <c r="AH41" s="217">
        <f t="shared" si="154"/>
        <v>0</v>
      </c>
      <c r="AI41" s="217">
        <f t="shared" si="155"/>
        <v>0</v>
      </c>
      <c r="AJ41" s="217">
        <f t="shared" si="156"/>
        <v>0</v>
      </c>
      <c r="AK41" s="218">
        <f t="shared" ref="AK41:AK93" si="164">AJ41</f>
        <v>0</v>
      </c>
      <c r="AL41" s="218">
        <f t="shared" si="158"/>
        <v>0</v>
      </c>
      <c r="AM41" s="218">
        <f t="shared" si="145"/>
        <v>0</v>
      </c>
      <c r="AN41" s="218">
        <f t="shared" si="162"/>
        <v>0</v>
      </c>
      <c r="AO41" s="218">
        <f t="shared" si="163"/>
        <v>0</v>
      </c>
      <c r="AP41" s="219">
        <f t="shared" si="159"/>
        <v>0</v>
      </c>
      <c r="AQ41" s="308">
        <v>4</v>
      </c>
      <c r="AR41" s="308">
        <v>12</v>
      </c>
      <c r="AS41" s="220">
        <v>1</v>
      </c>
      <c r="AT41" s="220">
        <v>12</v>
      </c>
      <c r="AU41" s="221">
        <f t="shared" si="61"/>
        <v>43313</v>
      </c>
      <c r="AV41" s="221">
        <f t="shared" si="62"/>
        <v>43617</v>
      </c>
      <c r="AW41" s="222">
        <f t="shared" si="92"/>
        <v>5.7099999999999998E-2</v>
      </c>
      <c r="AX41" s="222">
        <f t="shared" si="93"/>
        <v>9.64E-2</v>
      </c>
      <c r="AY41" s="219">
        <f t="shared" si="160"/>
        <v>0</v>
      </c>
      <c r="AZ41" s="219">
        <f t="shared" si="161"/>
        <v>0</v>
      </c>
      <c r="BA41" s="309"/>
      <c r="BB41" s="310"/>
      <c r="BC41" s="223" t="e">
        <f t="shared" si="157"/>
        <v>#DIV/0!</v>
      </c>
      <c r="BD41" s="224"/>
      <c r="BE41" s="225" t="e">
        <f t="shared" si="131"/>
        <v>#DIV/0!</v>
      </c>
      <c r="BF41" s="225" t="e">
        <f t="shared" si="132"/>
        <v>#DIV/0!</v>
      </c>
      <c r="BG41" s="225" t="e">
        <f t="shared" si="133"/>
        <v>#DIV/0!</v>
      </c>
      <c r="BH41" s="225" t="e">
        <f t="shared" si="134"/>
        <v>#DIV/0!</v>
      </c>
      <c r="BI41" s="225" t="e">
        <f t="shared" si="135"/>
        <v>#DIV/0!</v>
      </c>
      <c r="BJ41" s="226"/>
      <c r="BK41" s="307"/>
      <c r="BL41" s="307"/>
      <c r="BM41" s="307"/>
      <c r="BN41" s="307"/>
      <c r="BO41" s="307"/>
      <c r="BP41" s="307"/>
      <c r="BQ41" s="307"/>
      <c r="BR41" s="307"/>
      <c r="BS41" s="307"/>
      <c r="BT41" s="307"/>
      <c r="BU41" s="307"/>
      <c r="BV41" s="307"/>
      <c r="BW41" s="307"/>
      <c r="BX41" s="307"/>
      <c r="BY41" s="307"/>
      <c r="BZ41" s="307"/>
      <c r="CA41" s="307"/>
      <c r="CB41" s="307"/>
      <c r="CC41" s="307"/>
      <c r="CD41" s="307"/>
      <c r="CE41" s="307"/>
      <c r="CF41" s="307"/>
      <c r="CG41" s="307"/>
      <c r="CH41" s="307"/>
      <c r="CI41" s="307"/>
      <c r="CJ41" s="307"/>
      <c r="CK41" s="307"/>
      <c r="CL41" s="307"/>
      <c r="CM41" s="307"/>
      <c r="CN41" s="307"/>
      <c r="CO41" s="307"/>
      <c r="CP41" s="307"/>
      <c r="CQ41" s="307"/>
      <c r="CR41" s="307"/>
      <c r="CS41" s="307"/>
      <c r="CT41" s="307"/>
      <c r="CU41" s="307"/>
      <c r="CV41" s="307"/>
      <c r="CW41" s="307"/>
      <c r="CX41" s="307"/>
    </row>
    <row r="42" spans="1:102" s="229" customFormat="1" ht="22.5" hidden="1">
      <c r="A42" s="304">
        <f t="shared" si="102"/>
        <v>39</v>
      </c>
      <c r="B42" s="302"/>
      <c r="C42" s="371"/>
      <c r="D42" s="230"/>
      <c r="E42" s="231" t="s">
        <v>241</v>
      </c>
      <c r="F42" s="232"/>
      <c r="G42" s="305"/>
      <c r="H42" s="233" t="s">
        <v>106</v>
      </c>
      <c r="I42" s="306"/>
      <c r="J42" s="307"/>
      <c r="K42" s="307"/>
      <c r="L42" s="307"/>
      <c r="M42" s="307"/>
      <c r="N42" s="307"/>
      <c r="O42" s="216">
        <f t="shared" si="73"/>
        <v>0</v>
      </c>
      <c r="P42" s="307">
        <f t="shared" si="74"/>
        <v>0</v>
      </c>
      <c r="Q42" s="307"/>
      <c r="R42" s="307"/>
      <c r="S42" s="307"/>
      <c r="T42" s="216">
        <f t="shared" si="75"/>
        <v>0</v>
      </c>
      <c r="U42" s="217">
        <f t="shared" si="76"/>
        <v>0</v>
      </c>
      <c r="V42" s="217">
        <f t="shared" si="77"/>
        <v>0</v>
      </c>
      <c r="W42" s="307">
        <f t="shared" si="137"/>
        <v>0</v>
      </c>
      <c r="X42" s="215"/>
      <c r="Y42" s="215"/>
      <c r="Z42" s="307"/>
      <c r="AA42" s="217">
        <f t="shared" si="138"/>
        <v>0</v>
      </c>
      <c r="AB42" s="217">
        <f t="shared" si="139"/>
        <v>0</v>
      </c>
      <c r="AC42" s="217">
        <f t="shared" si="140"/>
        <v>0</v>
      </c>
      <c r="AD42" s="217">
        <f t="shared" si="141"/>
        <v>0</v>
      </c>
      <c r="AE42" s="217">
        <f t="shared" si="82"/>
        <v>0</v>
      </c>
      <c r="AF42" s="217">
        <f t="shared" si="152"/>
        <v>0</v>
      </c>
      <c r="AG42" s="217">
        <f t="shared" si="153"/>
        <v>0</v>
      </c>
      <c r="AH42" s="217">
        <f t="shared" si="154"/>
        <v>0</v>
      </c>
      <c r="AI42" s="217">
        <f t="shared" si="155"/>
        <v>0</v>
      </c>
      <c r="AJ42" s="217">
        <f t="shared" si="156"/>
        <v>0</v>
      </c>
      <c r="AK42" s="218">
        <f t="shared" si="164"/>
        <v>0</v>
      </c>
      <c r="AL42" s="218">
        <f t="shared" si="158"/>
        <v>0</v>
      </c>
      <c r="AM42" s="218">
        <f t="shared" ref="AM42:AM93" si="165">ROUND(18%*SUM(AK42,AL42),0)</f>
        <v>0</v>
      </c>
      <c r="AN42" s="218">
        <f t="shared" si="162"/>
        <v>0</v>
      </c>
      <c r="AO42" s="218">
        <f t="shared" si="163"/>
        <v>0</v>
      </c>
      <c r="AP42" s="219">
        <f t="shared" si="159"/>
        <v>0</v>
      </c>
      <c r="AQ42" s="308">
        <v>4</v>
      </c>
      <c r="AR42" s="308">
        <v>12</v>
      </c>
      <c r="AS42" s="220">
        <v>1</v>
      </c>
      <c r="AT42" s="220">
        <v>12</v>
      </c>
      <c r="AU42" s="221">
        <f t="shared" si="61"/>
        <v>43313</v>
      </c>
      <c r="AV42" s="221">
        <f t="shared" si="62"/>
        <v>43617</v>
      </c>
      <c r="AW42" s="222">
        <f t="shared" si="92"/>
        <v>5.7099999999999998E-2</v>
      </c>
      <c r="AX42" s="222">
        <f t="shared" si="93"/>
        <v>9.64E-2</v>
      </c>
      <c r="AY42" s="219">
        <f t="shared" si="160"/>
        <v>0</v>
      </c>
      <c r="AZ42" s="219">
        <f t="shared" si="161"/>
        <v>0</v>
      </c>
      <c r="BA42" s="309"/>
      <c r="BB42" s="310"/>
      <c r="BC42" s="223" t="e">
        <f t="shared" si="157"/>
        <v>#DIV/0!</v>
      </c>
      <c r="BD42" s="224"/>
      <c r="BE42" s="225" t="e">
        <f t="shared" si="131"/>
        <v>#DIV/0!</v>
      </c>
      <c r="BF42" s="225" t="e">
        <f t="shared" si="132"/>
        <v>#DIV/0!</v>
      </c>
      <c r="BG42" s="225" t="e">
        <f t="shared" si="133"/>
        <v>#DIV/0!</v>
      </c>
      <c r="BH42" s="225" t="e">
        <f t="shared" si="134"/>
        <v>#DIV/0!</v>
      </c>
      <c r="BI42" s="225" t="e">
        <f t="shared" si="135"/>
        <v>#DIV/0!</v>
      </c>
      <c r="BJ42" s="226"/>
      <c r="BK42" s="307"/>
      <c r="BL42" s="307"/>
      <c r="BM42" s="307"/>
      <c r="BN42" s="307"/>
      <c r="BO42" s="307"/>
      <c r="BP42" s="307"/>
      <c r="BQ42" s="307"/>
      <c r="BR42" s="307"/>
      <c r="BS42" s="307"/>
      <c r="BT42" s="307"/>
      <c r="BU42" s="307"/>
      <c r="BV42" s="307"/>
      <c r="BW42" s="307"/>
      <c r="BX42" s="307"/>
      <c r="BY42" s="307"/>
      <c r="BZ42" s="307"/>
      <c r="CA42" s="307"/>
      <c r="CB42" s="307"/>
      <c r="CC42" s="307"/>
      <c r="CD42" s="307"/>
      <c r="CE42" s="307"/>
      <c r="CF42" s="307"/>
      <c r="CG42" s="307"/>
      <c r="CH42" s="307"/>
      <c r="CI42" s="307"/>
      <c r="CJ42" s="307"/>
      <c r="CK42" s="307"/>
      <c r="CL42" s="307"/>
      <c r="CM42" s="307"/>
      <c r="CN42" s="307"/>
      <c r="CO42" s="307"/>
      <c r="CP42" s="307"/>
      <c r="CQ42" s="307"/>
      <c r="CR42" s="307"/>
      <c r="CS42" s="307"/>
      <c r="CT42" s="307"/>
      <c r="CU42" s="307"/>
      <c r="CV42" s="307"/>
      <c r="CW42" s="307"/>
      <c r="CX42" s="307"/>
    </row>
    <row r="43" spans="1:102" s="229" customFormat="1" ht="22.5" hidden="1">
      <c r="A43" s="304">
        <f t="shared" si="102"/>
        <v>40</v>
      </c>
      <c r="B43" s="302"/>
      <c r="C43" s="371"/>
      <c r="D43" s="230"/>
      <c r="E43" s="231" t="s">
        <v>241</v>
      </c>
      <c r="F43" s="232"/>
      <c r="G43" s="305"/>
      <c r="H43" s="233" t="s">
        <v>106</v>
      </c>
      <c r="I43" s="306"/>
      <c r="J43" s="307"/>
      <c r="K43" s="307"/>
      <c r="L43" s="307"/>
      <c r="M43" s="307"/>
      <c r="N43" s="307"/>
      <c r="O43" s="216">
        <f t="shared" si="73"/>
        <v>0</v>
      </c>
      <c r="P43" s="307">
        <f t="shared" si="74"/>
        <v>0</v>
      </c>
      <c r="Q43" s="307"/>
      <c r="R43" s="307"/>
      <c r="S43" s="307"/>
      <c r="T43" s="216">
        <f t="shared" si="75"/>
        <v>0</v>
      </c>
      <c r="U43" s="217">
        <f t="shared" si="76"/>
        <v>0</v>
      </c>
      <c r="V43" s="217">
        <f t="shared" si="77"/>
        <v>0</v>
      </c>
      <c r="W43" s="307">
        <f t="shared" si="137"/>
        <v>0</v>
      </c>
      <c r="X43" s="215"/>
      <c r="Y43" s="215"/>
      <c r="Z43" s="307"/>
      <c r="AA43" s="217">
        <f t="shared" si="138"/>
        <v>0</v>
      </c>
      <c r="AB43" s="217">
        <f t="shared" si="139"/>
        <v>0</v>
      </c>
      <c r="AC43" s="217">
        <f t="shared" si="140"/>
        <v>0</v>
      </c>
      <c r="AD43" s="217">
        <f t="shared" si="141"/>
        <v>0</v>
      </c>
      <c r="AE43" s="217">
        <f t="shared" si="82"/>
        <v>0</v>
      </c>
      <c r="AF43" s="217">
        <f t="shared" si="152"/>
        <v>0</v>
      </c>
      <c r="AG43" s="217">
        <f t="shared" si="153"/>
        <v>0</v>
      </c>
      <c r="AH43" s="217">
        <f t="shared" si="154"/>
        <v>0</v>
      </c>
      <c r="AI43" s="217">
        <f t="shared" si="155"/>
        <v>0</v>
      </c>
      <c r="AJ43" s="217">
        <f t="shared" ref="AJ43" si="166">SUM(AF43:AI43)</f>
        <v>0</v>
      </c>
      <c r="AK43" s="218">
        <f t="shared" si="164"/>
        <v>0</v>
      </c>
      <c r="AL43" s="218">
        <f t="shared" si="158"/>
        <v>0</v>
      </c>
      <c r="AM43" s="218">
        <f t="shared" si="165"/>
        <v>0</v>
      </c>
      <c r="AN43" s="218">
        <f t="shared" si="162"/>
        <v>0</v>
      </c>
      <c r="AO43" s="218">
        <f t="shared" si="163"/>
        <v>0</v>
      </c>
      <c r="AP43" s="219">
        <f t="shared" si="159"/>
        <v>0</v>
      </c>
      <c r="AQ43" s="308">
        <v>4</v>
      </c>
      <c r="AR43" s="308">
        <v>12</v>
      </c>
      <c r="AS43" s="220">
        <v>1</v>
      </c>
      <c r="AT43" s="220">
        <v>12</v>
      </c>
      <c r="AU43" s="221">
        <f t="shared" si="61"/>
        <v>43313</v>
      </c>
      <c r="AV43" s="221">
        <f t="shared" si="62"/>
        <v>43617</v>
      </c>
      <c r="AW43" s="222">
        <f t="shared" si="92"/>
        <v>5.7099999999999998E-2</v>
      </c>
      <c r="AX43" s="222">
        <f t="shared" si="93"/>
        <v>9.64E-2</v>
      </c>
      <c r="AY43" s="219">
        <f t="shared" si="160"/>
        <v>0</v>
      </c>
      <c r="AZ43" s="219">
        <f t="shared" si="161"/>
        <v>0</v>
      </c>
      <c r="BA43" s="309"/>
      <c r="BB43" s="310"/>
      <c r="BC43" s="223" t="e">
        <f t="shared" si="157"/>
        <v>#DIV/0!</v>
      </c>
      <c r="BD43" s="224"/>
      <c r="BE43" s="225" t="e">
        <f t="shared" si="131"/>
        <v>#DIV/0!</v>
      </c>
      <c r="BF43" s="225" t="e">
        <f t="shared" si="132"/>
        <v>#DIV/0!</v>
      </c>
      <c r="BG43" s="225" t="e">
        <f t="shared" si="133"/>
        <v>#DIV/0!</v>
      </c>
      <c r="BH43" s="225" t="e">
        <f t="shared" si="134"/>
        <v>#DIV/0!</v>
      </c>
      <c r="BI43" s="225" t="e">
        <f t="shared" si="135"/>
        <v>#DIV/0!</v>
      </c>
      <c r="BJ43" s="226"/>
      <c r="BK43" s="307"/>
      <c r="BL43" s="307"/>
      <c r="BM43" s="307"/>
      <c r="BN43" s="307"/>
      <c r="BO43" s="307"/>
      <c r="BP43" s="307"/>
      <c r="BQ43" s="307"/>
      <c r="BR43" s="307"/>
      <c r="BS43" s="307"/>
      <c r="BT43" s="307"/>
      <c r="BU43" s="307"/>
      <c r="BV43" s="307"/>
      <c r="BW43" s="307"/>
      <c r="BX43" s="307"/>
      <c r="BY43" s="307"/>
      <c r="BZ43" s="307"/>
      <c r="CA43" s="307"/>
      <c r="CB43" s="307"/>
      <c r="CC43" s="307"/>
      <c r="CD43" s="307"/>
      <c r="CE43" s="307"/>
      <c r="CF43" s="307"/>
      <c r="CG43" s="307"/>
      <c r="CH43" s="307"/>
      <c r="CI43" s="307"/>
      <c r="CJ43" s="307"/>
      <c r="CK43" s="307"/>
      <c r="CL43" s="307"/>
      <c r="CM43" s="307"/>
      <c r="CN43" s="307"/>
      <c r="CO43" s="307"/>
      <c r="CP43" s="307"/>
      <c r="CQ43" s="307"/>
      <c r="CR43" s="307"/>
      <c r="CS43" s="307"/>
      <c r="CT43" s="307"/>
      <c r="CU43" s="307"/>
      <c r="CV43" s="307"/>
      <c r="CW43" s="307"/>
      <c r="CX43" s="307"/>
    </row>
    <row r="44" spans="1:102" s="229" customFormat="1" ht="22.5" hidden="1">
      <c r="A44" s="304">
        <f t="shared" si="102"/>
        <v>41</v>
      </c>
      <c r="B44" s="302"/>
      <c r="C44" s="371"/>
      <c r="D44" s="230"/>
      <c r="E44" s="231" t="s">
        <v>241</v>
      </c>
      <c r="F44" s="232"/>
      <c r="G44" s="305"/>
      <c r="H44" s="233" t="s">
        <v>106</v>
      </c>
      <c r="I44" s="306"/>
      <c r="J44" s="307"/>
      <c r="K44" s="307"/>
      <c r="L44" s="307"/>
      <c r="M44" s="307"/>
      <c r="N44" s="307"/>
      <c r="O44" s="216">
        <f t="shared" si="73"/>
        <v>0</v>
      </c>
      <c r="P44" s="307">
        <f t="shared" si="74"/>
        <v>0</v>
      </c>
      <c r="Q44" s="307"/>
      <c r="R44" s="307"/>
      <c r="S44" s="307"/>
      <c r="T44" s="216">
        <f t="shared" si="75"/>
        <v>0</v>
      </c>
      <c r="U44" s="217">
        <f t="shared" si="76"/>
        <v>0</v>
      </c>
      <c r="V44" s="217">
        <f t="shared" si="77"/>
        <v>0</v>
      </c>
      <c r="W44" s="307">
        <f t="shared" si="137"/>
        <v>0</v>
      </c>
      <c r="X44" s="215"/>
      <c r="Y44" s="215"/>
      <c r="Z44" s="307"/>
      <c r="AA44" s="217">
        <f t="shared" si="138"/>
        <v>0</v>
      </c>
      <c r="AB44" s="217">
        <f t="shared" si="139"/>
        <v>0</v>
      </c>
      <c r="AC44" s="217">
        <f t="shared" si="140"/>
        <v>0</v>
      </c>
      <c r="AD44" s="217">
        <f t="shared" si="141"/>
        <v>0</v>
      </c>
      <c r="AE44" s="217">
        <f t="shared" si="82"/>
        <v>0</v>
      </c>
      <c r="AF44" s="217">
        <f t="shared" si="152"/>
        <v>0</v>
      </c>
      <c r="AG44" s="217">
        <f t="shared" si="153"/>
        <v>0</v>
      </c>
      <c r="AH44" s="217">
        <f t="shared" si="154"/>
        <v>0</v>
      </c>
      <c r="AI44" s="217">
        <f t="shared" si="155"/>
        <v>0</v>
      </c>
      <c r="AJ44" s="217">
        <f t="shared" ref="AJ44:AJ47" si="167">SUM(AF44:AI44)</f>
        <v>0</v>
      </c>
      <c r="AK44" s="218">
        <f t="shared" si="164"/>
        <v>0</v>
      </c>
      <c r="AL44" s="218">
        <f t="shared" si="158"/>
        <v>0</v>
      </c>
      <c r="AM44" s="218">
        <f t="shared" si="165"/>
        <v>0</v>
      </c>
      <c r="AN44" s="218">
        <f t="shared" si="162"/>
        <v>0</v>
      </c>
      <c r="AO44" s="218">
        <f t="shared" si="163"/>
        <v>0</v>
      </c>
      <c r="AP44" s="219">
        <f t="shared" si="159"/>
        <v>0</v>
      </c>
      <c r="AQ44" s="308">
        <v>4</v>
      </c>
      <c r="AR44" s="308">
        <v>12</v>
      </c>
      <c r="AS44" s="220">
        <v>1</v>
      </c>
      <c r="AT44" s="220">
        <v>12</v>
      </c>
      <c r="AU44" s="221">
        <f t="shared" si="61"/>
        <v>43313</v>
      </c>
      <c r="AV44" s="221">
        <f t="shared" si="62"/>
        <v>43617</v>
      </c>
      <c r="AW44" s="222">
        <f t="shared" si="92"/>
        <v>5.7099999999999998E-2</v>
      </c>
      <c r="AX44" s="222">
        <f t="shared" si="93"/>
        <v>9.64E-2</v>
      </c>
      <c r="AY44" s="219">
        <f t="shared" si="160"/>
        <v>0</v>
      </c>
      <c r="AZ44" s="219">
        <f t="shared" si="161"/>
        <v>0</v>
      </c>
      <c r="BA44" s="309"/>
      <c r="BB44" s="310"/>
      <c r="BC44" s="223" t="e">
        <f t="shared" si="157"/>
        <v>#DIV/0!</v>
      </c>
      <c r="BD44" s="224"/>
      <c r="BE44" s="225" t="e">
        <f t="shared" si="131"/>
        <v>#DIV/0!</v>
      </c>
      <c r="BF44" s="225" t="e">
        <f t="shared" si="132"/>
        <v>#DIV/0!</v>
      </c>
      <c r="BG44" s="225" t="e">
        <f t="shared" si="133"/>
        <v>#DIV/0!</v>
      </c>
      <c r="BH44" s="225" t="e">
        <f t="shared" si="134"/>
        <v>#DIV/0!</v>
      </c>
      <c r="BI44" s="225" t="e">
        <f t="shared" si="135"/>
        <v>#DIV/0!</v>
      </c>
      <c r="BJ44" s="226"/>
      <c r="BK44" s="307"/>
      <c r="BL44" s="307"/>
      <c r="BM44" s="307"/>
      <c r="BN44" s="307"/>
      <c r="BO44" s="307"/>
      <c r="BP44" s="307"/>
      <c r="BQ44" s="307"/>
      <c r="BR44" s="307"/>
      <c r="BS44" s="307"/>
      <c r="BT44" s="307"/>
      <c r="BU44" s="307"/>
      <c r="BV44" s="307"/>
      <c r="BW44" s="307"/>
      <c r="BX44" s="307"/>
      <c r="BY44" s="307"/>
      <c r="BZ44" s="307"/>
      <c r="CA44" s="307"/>
      <c r="CB44" s="307"/>
      <c r="CC44" s="307"/>
      <c r="CD44" s="307"/>
      <c r="CE44" s="307"/>
      <c r="CF44" s="307"/>
      <c r="CG44" s="307"/>
      <c r="CH44" s="307"/>
      <c r="CI44" s="307"/>
      <c r="CJ44" s="307"/>
      <c r="CK44" s="307"/>
      <c r="CL44" s="307"/>
      <c r="CM44" s="307"/>
      <c r="CN44" s="307"/>
      <c r="CO44" s="307"/>
      <c r="CP44" s="307"/>
      <c r="CQ44" s="307"/>
      <c r="CR44" s="307"/>
      <c r="CS44" s="307"/>
      <c r="CT44" s="307"/>
      <c r="CU44" s="307"/>
      <c r="CV44" s="307"/>
      <c r="CW44" s="307"/>
      <c r="CX44" s="307"/>
    </row>
    <row r="45" spans="1:102" s="229" customFormat="1" ht="22.5" hidden="1">
      <c r="A45" s="304">
        <f t="shared" si="102"/>
        <v>42</v>
      </c>
      <c r="B45" s="302"/>
      <c r="C45" s="371"/>
      <c r="D45" s="230"/>
      <c r="E45" s="231" t="s">
        <v>241</v>
      </c>
      <c r="F45" s="232"/>
      <c r="G45" s="305"/>
      <c r="H45" s="233" t="s">
        <v>106</v>
      </c>
      <c r="I45" s="306"/>
      <c r="J45" s="307"/>
      <c r="K45" s="307"/>
      <c r="L45" s="307"/>
      <c r="M45" s="307"/>
      <c r="N45" s="307"/>
      <c r="O45" s="216">
        <f t="shared" si="73"/>
        <v>0</v>
      </c>
      <c r="P45" s="307">
        <f t="shared" si="74"/>
        <v>0</v>
      </c>
      <c r="Q45" s="307"/>
      <c r="R45" s="307"/>
      <c r="S45" s="307"/>
      <c r="T45" s="216">
        <f t="shared" si="75"/>
        <v>0</v>
      </c>
      <c r="U45" s="217">
        <f t="shared" si="76"/>
        <v>0</v>
      </c>
      <c r="V45" s="217">
        <f t="shared" si="77"/>
        <v>0</v>
      </c>
      <c r="W45" s="307">
        <f t="shared" si="137"/>
        <v>0</v>
      </c>
      <c r="X45" s="215"/>
      <c r="Y45" s="215"/>
      <c r="Z45" s="307"/>
      <c r="AA45" s="217">
        <f t="shared" si="138"/>
        <v>0</v>
      </c>
      <c r="AB45" s="217">
        <f t="shared" si="139"/>
        <v>0</v>
      </c>
      <c r="AC45" s="217">
        <f t="shared" si="140"/>
        <v>0</v>
      </c>
      <c r="AD45" s="217">
        <f t="shared" si="141"/>
        <v>0</v>
      </c>
      <c r="AE45" s="217">
        <f t="shared" si="82"/>
        <v>0</v>
      </c>
      <c r="AF45" s="217">
        <f t="shared" si="152"/>
        <v>0</v>
      </c>
      <c r="AG45" s="217">
        <f t="shared" si="153"/>
        <v>0</v>
      </c>
      <c r="AH45" s="217">
        <f t="shared" si="154"/>
        <v>0</v>
      </c>
      <c r="AI45" s="217">
        <f t="shared" si="155"/>
        <v>0</v>
      </c>
      <c r="AJ45" s="217">
        <f t="shared" si="167"/>
        <v>0</v>
      </c>
      <c r="AK45" s="218">
        <f t="shared" si="164"/>
        <v>0</v>
      </c>
      <c r="AL45" s="218">
        <f t="shared" si="158"/>
        <v>0</v>
      </c>
      <c r="AM45" s="218">
        <f t="shared" si="165"/>
        <v>0</v>
      </c>
      <c r="AN45" s="218">
        <f t="shared" si="162"/>
        <v>0</v>
      </c>
      <c r="AO45" s="218">
        <f t="shared" si="163"/>
        <v>0</v>
      </c>
      <c r="AP45" s="219">
        <f t="shared" si="159"/>
        <v>0</v>
      </c>
      <c r="AQ45" s="308">
        <v>4</v>
      </c>
      <c r="AR45" s="308">
        <v>12</v>
      </c>
      <c r="AS45" s="220">
        <v>1</v>
      </c>
      <c r="AT45" s="220">
        <v>12</v>
      </c>
      <c r="AU45" s="221">
        <f t="shared" si="61"/>
        <v>43313</v>
      </c>
      <c r="AV45" s="221">
        <f t="shared" si="62"/>
        <v>43617</v>
      </c>
      <c r="AW45" s="222">
        <f t="shared" si="92"/>
        <v>5.7099999999999998E-2</v>
      </c>
      <c r="AX45" s="222">
        <f t="shared" si="93"/>
        <v>9.64E-2</v>
      </c>
      <c r="AY45" s="219">
        <f t="shared" si="160"/>
        <v>0</v>
      </c>
      <c r="AZ45" s="219">
        <f t="shared" si="161"/>
        <v>0</v>
      </c>
      <c r="BA45" s="309"/>
      <c r="BB45" s="310"/>
      <c r="BC45" s="223" t="e">
        <f t="shared" si="157"/>
        <v>#DIV/0!</v>
      </c>
      <c r="BD45" s="224"/>
      <c r="BE45" s="225" t="e">
        <f t="shared" si="131"/>
        <v>#DIV/0!</v>
      </c>
      <c r="BF45" s="225" t="e">
        <f t="shared" si="132"/>
        <v>#DIV/0!</v>
      </c>
      <c r="BG45" s="225" t="e">
        <f t="shared" si="133"/>
        <v>#DIV/0!</v>
      </c>
      <c r="BH45" s="225" t="e">
        <f t="shared" si="134"/>
        <v>#DIV/0!</v>
      </c>
      <c r="BI45" s="225" t="e">
        <f t="shared" si="135"/>
        <v>#DIV/0!</v>
      </c>
      <c r="BJ45" s="226"/>
      <c r="BK45" s="307"/>
      <c r="BL45" s="307"/>
      <c r="BM45" s="307"/>
      <c r="BN45" s="307"/>
      <c r="BO45" s="307"/>
      <c r="BP45" s="307"/>
      <c r="BQ45" s="307"/>
      <c r="BR45" s="307"/>
      <c r="BS45" s="307"/>
      <c r="BT45" s="307"/>
      <c r="BU45" s="307"/>
      <c r="BV45" s="307"/>
      <c r="BW45" s="307"/>
      <c r="BX45" s="307"/>
      <c r="BY45" s="307"/>
      <c r="BZ45" s="307"/>
      <c r="CA45" s="307"/>
      <c r="CB45" s="307"/>
      <c r="CC45" s="307"/>
      <c r="CD45" s="307"/>
      <c r="CE45" s="307"/>
      <c r="CF45" s="307"/>
      <c r="CG45" s="307"/>
      <c r="CH45" s="307"/>
      <c r="CI45" s="307"/>
      <c r="CJ45" s="307"/>
      <c r="CK45" s="307"/>
      <c r="CL45" s="307"/>
      <c r="CM45" s="307"/>
      <c r="CN45" s="307"/>
      <c r="CO45" s="307"/>
      <c r="CP45" s="307"/>
      <c r="CQ45" s="307"/>
      <c r="CR45" s="307"/>
      <c r="CS45" s="307"/>
      <c r="CT45" s="307"/>
      <c r="CU45" s="307"/>
      <c r="CV45" s="307"/>
      <c r="CW45" s="307"/>
      <c r="CX45" s="307"/>
    </row>
    <row r="46" spans="1:102" s="229" customFormat="1" ht="22.5" hidden="1">
      <c r="A46" s="304">
        <f t="shared" si="102"/>
        <v>43</v>
      </c>
      <c r="B46" s="302"/>
      <c r="C46" s="371"/>
      <c r="D46" s="230"/>
      <c r="E46" s="231" t="s">
        <v>241</v>
      </c>
      <c r="F46" s="232"/>
      <c r="G46" s="305"/>
      <c r="H46" s="233" t="s">
        <v>106</v>
      </c>
      <c r="I46" s="306"/>
      <c r="J46" s="307"/>
      <c r="K46" s="307"/>
      <c r="L46" s="307"/>
      <c r="M46" s="307"/>
      <c r="N46" s="307"/>
      <c r="O46" s="216">
        <f t="shared" si="73"/>
        <v>0</v>
      </c>
      <c r="P46" s="307">
        <f t="shared" si="74"/>
        <v>0</v>
      </c>
      <c r="Q46" s="307"/>
      <c r="R46" s="307"/>
      <c r="S46" s="307"/>
      <c r="T46" s="216">
        <f t="shared" si="75"/>
        <v>0</v>
      </c>
      <c r="U46" s="217">
        <f t="shared" si="76"/>
        <v>0</v>
      </c>
      <c r="V46" s="217">
        <f t="shared" si="77"/>
        <v>0</v>
      </c>
      <c r="W46" s="307">
        <f t="shared" si="137"/>
        <v>0</v>
      </c>
      <c r="X46" s="215"/>
      <c r="Y46" s="215"/>
      <c r="Z46" s="307"/>
      <c r="AA46" s="217">
        <f t="shared" si="138"/>
        <v>0</v>
      </c>
      <c r="AB46" s="217">
        <f t="shared" si="139"/>
        <v>0</v>
      </c>
      <c r="AC46" s="217">
        <f t="shared" si="140"/>
        <v>0</v>
      </c>
      <c r="AD46" s="217">
        <f t="shared" si="141"/>
        <v>0</v>
      </c>
      <c r="AE46" s="217">
        <f t="shared" si="82"/>
        <v>0</v>
      </c>
      <c r="AF46" s="217">
        <f t="shared" si="152"/>
        <v>0</v>
      </c>
      <c r="AG46" s="217">
        <f t="shared" si="153"/>
        <v>0</v>
      </c>
      <c r="AH46" s="217">
        <f t="shared" si="154"/>
        <v>0</v>
      </c>
      <c r="AI46" s="217">
        <f t="shared" si="155"/>
        <v>0</v>
      </c>
      <c r="AJ46" s="217">
        <f t="shared" si="167"/>
        <v>0</v>
      </c>
      <c r="AK46" s="218">
        <f t="shared" si="164"/>
        <v>0</v>
      </c>
      <c r="AL46" s="218">
        <f t="shared" si="158"/>
        <v>0</v>
      </c>
      <c r="AM46" s="218">
        <f t="shared" si="165"/>
        <v>0</v>
      </c>
      <c r="AN46" s="218">
        <f t="shared" si="162"/>
        <v>0</v>
      </c>
      <c r="AO46" s="218">
        <f t="shared" si="163"/>
        <v>0</v>
      </c>
      <c r="AP46" s="219">
        <f t="shared" si="159"/>
        <v>0</v>
      </c>
      <c r="AQ46" s="308">
        <v>4</v>
      </c>
      <c r="AR46" s="308">
        <v>12</v>
      </c>
      <c r="AS46" s="220">
        <v>1</v>
      </c>
      <c r="AT46" s="220">
        <v>12</v>
      </c>
      <c r="AU46" s="221">
        <f t="shared" si="61"/>
        <v>43313</v>
      </c>
      <c r="AV46" s="221">
        <f t="shared" si="62"/>
        <v>43617</v>
      </c>
      <c r="AW46" s="222">
        <f t="shared" si="92"/>
        <v>5.7099999999999998E-2</v>
      </c>
      <c r="AX46" s="222">
        <f t="shared" si="93"/>
        <v>9.64E-2</v>
      </c>
      <c r="AY46" s="219">
        <f t="shared" si="160"/>
        <v>0</v>
      </c>
      <c r="AZ46" s="219">
        <f t="shared" si="161"/>
        <v>0</v>
      </c>
      <c r="BA46" s="309"/>
      <c r="BB46" s="310"/>
      <c r="BC46" s="223" t="e">
        <f t="shared" si="157"/>
        <v>#DIV/0!</v>
      </c>
      <c r="BD46" s="224"/>
      <c r="BE46" s="225" t="e">
        <f t="shared" si="131"/>
        <v>#DIV/0!</v>
      </c>
      <c r="BF46" s="225" t="e">
        <f t="shared" si="132"/>
        <v>#DIV/0!</v>
      </c>
      <c r="BG46" s="225" t="e">
        <f t="shared" si="133"/>
        <v>#DIV/0!</v>
      </c>
      <c r="BH46" s="225" t="e">
        <f t="shared" si="134"/>
        <v>#DIV/0!</v>
      </c>
      <c r="BI46" s="225" t="e">
        <f t="shared" si="135"/>
        <v>#DIV/0!</v>
      </c>
      <c r="BJ46" s="226"/>
      <c r="BK46" s="307"/>
      <c r="BL46" s="307"/>
      <c r="BM46" s="307"/>
      <c r="BN46" s="307"/>
      <c r="BO46" s="307"/>
      <c r="BP46" s="307"/>
      <c r="BQ46" s="307"/>
      <c r="BR46" s="307"/>
      <c r="BS46" s="307"/>
      <c r="BT46" s="307"/>
      <c r="BU46" s="307"/>
      <c r="BV46" s="307"/>
      <c r="BW46" s="307"/>
      <c r="BX46" s="307"/>
      <c r="BY46" s="307"/>
      <c r="BZ46" s="307"/>
      <c r="CA46" s="307"/>
      <c r="CB46" s="307"/>
      <c r="CC46" s="307"/>
      <c r="CD46" s="307"/>
      <c r="CE46" s="307"/>
      <c r="CF46" s="307"/>
      <c r="CG46" s="307"/>
      <c r="CH46" s="307"/>
      <c r="CI46" s="307"/>
      <c r="CJ46" s="307"/>
      <c r="CK46" s="307"/>
      <c r="CL46" s="307"/>
      <c r="CM46" s="307"/>
      <c r="CN46" s="307"/>
      <c r="CO46" s="307"/>
      <c r="CP46" s="307"/>
      <c r="CQ46" s="307"/>
      <c r="CR46" s="307"/>
      <c r="CS46" s="307"/>
      <c r="CT46" s="307"/>
      <c r="CU46" s="307"/>
      <c r="CV46" s="307"/>
      <c r="CW46" s="307"/>
      <c r="CX46" s="307"/>
    </row>
    <row r="47" spans="1:102" s="229" customFormat="1" ht="22.5" hidden="1">
      <c r="A47" s="304">
        <f t="shared" si="102"/>
        <v>44</v>
      </c>
      <c r="B47" s="302"/>
      <c r="C47" s="371"/>
      <c r="D47" s="230"/>
      <c r="E47" s="231" t="s">
        <v>241</v>
      </c>
      <c r="F47" s="232"/>
      <c r="G47" s="305"/>
      <c r="H47" s="233" t="s">
        <v>106</v>
      </c>
      <c r="I47" s="306"/>
      <c r="J47" s="307"/>
      <c r="K47" s="307"/>
      <c r="L47" s="307"/>
      <c r="M47" s="307"/>
      <c r="N47" s="307"/>
      <c r="O47" s="216">
        <f t="shared" si="73"/>
        <v>0</v>
      </c>
      <c r="P47" s="307">
        <f t="shared" si="74"/>
        <v>0</v>
      </c>
      <c r="Q47" s="307"/>
      <c r="R47" s="307"/>
      <c r="S47" s="307"/>
      <c r="T47" s="216">
        <f t="shared" si="75"/>
        <v>0</v>
      </c>
      <c r="U47" s="217">
        <f t="shared" si="76"/>
        <v>0</v>
      </c>
      <c r="V47" s="217">
        <f t="shared" si="77"/>
        <v>0</v>
      </c>
      <c r="W47" s="307">
        <f t="shared" si="137"/>
        <v>0</v>
      </c>
      <c r="X47" s="215"/>
      <c r="Y47" s="215"/>
      <c r="Z47" s="307"/>
      <c r="AA47" s="217">
        <f t="shared" si="138"/>
        <v>0</v>
      </c>
      <c r="AB47" s="217">
        <f t="shared" si="139"/>
        <v>0</v>
      </c>
      <c r="AC47" s="217">
        <f t="shared" si="140"/>
        <v>0</v>
      </c>
      <c r="AD47" s="217">
        <f t="shared" si="141"/>
        <v>0</v>
      </c>
      <c r="AE47" s="217">
        <f t="shared" si="82"/>
        <v>0</v>
      </c>
      <c r="AF47" s="217">
        <f t="shared" si="152"/>
        <v>0</v>
      </c>
      <c r="AG47" s="217">
        <f t="shared" si="153"/>
        <v>0</v>
      </c>
      <c r="AH47" s="217">
        <f t="shared" si="154"/>
        <v>0</v>
      </c>
      <c r="AI47" s="217">
        <f t="shared" si="155"/>
        <v>0</v>
      </c>
      <c r="AJ47" s="217">
        <f t="shared" si="167"/>
        <v>0</v>
      </c>
      <c r="AK47" s="218">
        <f t="shared" si="164"/>
        <v>0</v>
      </c>
      <c r="AL47" s="218">
        <f t="shared" si="158"/>
        <v>0</v>
      </c>
      <c r="AM47" s="218">
        <f t="shared" si="165"/>
        <v>0</v>
      </c>
      <c r="AN47" s="218">
        <f t="shared" si="162"/>
        <v>0</v>
      </c>
      <c r="AO47" s="218">
        <f t="shared" si="163"/>
        <v>0</v>
      </c>
      <c r="AP47" s="219">
        <f t="shared" si="159"/>
        <v>0</v>
      </c>
      <c r="AQ47" s="308">
        <v>4</v>
      </c>
      <c r="AR47" s="308">
        <v>12</v>
      </c>
      <c r="AS47" s="220">
        <v>1</v>
      </c>
      <c r="AT47" s="220">
        <v>12</v>
      </c>
      <c r="AU47" s="221">
        <f t="shared" si="61"/>
        <v>43313</v>
      </c>
      <c r="AV47" s="221">
        <f t="shared" si="62"/>
        <v>43617</v>
      </c>
      <c r="AW47" s="222">
        <f t="shared" si="92"/>
        <v>5.7099999999999998E-2</v>
      </c>
      <c r="AX47" s="222">
        <f t="shared" si="93"/>
        <v>9.64E-2</v>
      </c>
      <c r="AY47" s="219">
        <f t="shared" si="160"/>
        <v>0</v>
      </c>
      <c r="AZ47" s="219">
        <f t="shared" si="161"/>
        <v>0</v>
      </c>
      <c r="BA47" s="309"/>
      <c r="BB47" s="310"/>
      <c r="BC47" s="223" t="e">
        <f t="shared" si="157"/>
        <v>#DIV/0!</v>
      </c>
      <c r="BD47" s="224"/>
      <c r="BE47" s="225" t="e">
        <f t="shared" si="131"/>
        <v>#DIV/0!</v>
      </c>
      <c r="BF47" s="225" t="e">
        <f t="shared" si="132"/>
        <v>#DIV/0!</v>
      </c>
      <c r="BG47" s="225" t="e">
        <f t="shared" si="133"/>
        <v>#DIV/0!</v>
      </c>
      <c r="BH47" s="225" t="e">
        <f t="shared" si="134"/>
        <v>#DIV/0!</v>
      </c>
      <c r="BI47" s="225" t="e">
        <f t="shared" si="135"/>
        <v>#DIV/0!</v>
      </c>
      <c r="BJ47" s="226"/>
      <c r="BK47" s="307"/>
      <c r="BL47" s="307"/>
      <c r="BM47" s="307"/>
      <c r="BN47" s="307"/>
      <c r="BO47" s="307"/>
      <c r="BP47" s="307"/>
      <c r="BQ47" s="307"/>
      <c r="BR47" s="307"/>
      <c r="BS47" s="307"/>
      <c r="BT47" s="307"/>
      <c r="BU47" s="307"/>
      <c r="BV47" s="307"/>
      <c r="BW47" s="307"/>
      <c r="BX47" s="307"/>
      <c r="BY47" s="307"/>
      <c r="BZ47" s="307"/>
      <c r="CA47" s="307"/>
      <c r="CB47" s="307"/>
      <c r="CC47" s="307"/>
      <c r="CD47" s="307"/>
      <c r="CE47" s="307"/>
      <c r="CF47" s="307"/>
      <c r="CG47" s="307"/>
      <c r="CH47" s="307"/>
      <c r="CI47" s="307"/>
      <c r="CJ47" s="307"/>
      <c r="CK47" s="307"/>
      <c r="CL47" s="307"/>
      <c r="CM47" s="307"/>
      <c r="CN47" s="307"/>
      <c r="CO47" s="307"/>
      <c r="CP47" s="307"/>
      <c r="CQ47" s="307"/>
      <c r="CR47" s="307"/>
      <c r="CS47" s="307"/>
      <c r="CT47" s="307"/>
      <c r="CU47" s="307"/>
      <c r="CV47" s="307"/>
      <c r="CW47" s="307"/>
      <c r="CX47" s="307"/>
    </row>
    <row r="48" spans="1:102" s="229" customFormat="1" ht="22.5" hidden="1">
      <c r="A48" s="304">
        <f t="shared" si="102"/>
        <v>45</v>
      </c>
      <c r="B48" s="302"/>
      <c r="C48" s="371"/>
      <c r="D48" s="230"/>
      <c r="E48" s="231" t="s">
        <v>241</v>
      </c>
      <c r="F48" s="232"/>
      <c r="G48" s="305"/>
      <c r="H48" s="233" t="s">
        <v>106</v>
      </c>
      <c r="I48" s="306"/>
      <c r="J48" s="307"/>
      <c r="K48" s="307"/>
      <c r="L48" s="307"/>
      <c r="M48" s="307"/>
      <c r="N48" s="307"/>
      <c r="O48" s="216">
        <f t="shared" si="73"/>
        <v>0</v>
      </c>
      <c r="P48" s="307">
        <f t="shared" si="74"/>
        <v>0</v>
      </c>
      <c r="Q48" s="307"/>
      <c r="R48" s="307"/>
      <c r="S48" s="307"/>
      <c r="T48" s="216">
        <f t="shared" si="75"/>
        <v>0</v>
      </c>
      <c r="U48" s="217">
        <f t="shared" si="76"/>
        <v>0</v>
      </c>
      <c r="V48" s="217">
        <f t="shared" si="77"/>
        <v>0</v>
      </c>
      <c r="W48" s="307">
        <f t="shared" si="137"/>
        <v>0</v>
      </c>
      <c r="X48" s="215"/>
      <c r="Y48" s="215"/>
      <c r="Z48" s="307"/>
      <c r="AA48" s="217">
        <f t="shared" si="138"/>
        <v>0</v>
      </c>
      <c r="AB48" s="217">
        <f t="shared" si="139"/>
        <v>0</v>
      </c>
      <c r="AC48" s="217">
        <f t="shared" si="140"/>
        <v>0</v>
      </c>
      <c r="AD48" s="217">
        <f t="shared" si="141"/>
        <v>0</v>
      </c>
      <c r="AE48" s="217">
        <f t="shared" si="82"/>
        <v>0</v>
      </c>
      <c r="AF48" s="217">
        <f t="shared" si="152"/>
        <v>0</v>
      </c>
      <c r="AG48" s="217">
        <f t="shared" si="153"/>
        <v>0</v>
      </c>
      <c r="AH48" s="217">
        <f t="shared" si="154"/>
        <v>0</v>
      </c>
      <c r="AI48" s="217">
        <f t="shared" si="155"/>
        <v>0</v>
      </c>
      <c r="AJ48" s="217">
        <f t="shared" ref="AJ48" si="168">SUM(AF48:AI48)</f>
        <v>0</v>
      </c>
      <c r="AK48" s="218">
        <f t="shared" si="164"/>
        <v>0</v>
      </c>
      <c r="AL48" s="218">
        <f t="shared" si="158"/>
        <v>0</v>
      </c>
      <c r="AM48" s="218">
        <f t="shared" si="165"/>
        <v>0</v>
      </c>
      <c r="AN48" s="218">
        <f t="shared" si="162"/>
        <v>0</v>
      </c>
      <c r="AO48" s="218">
        <f t="shared" si="163"/>
        <v>0</v>
      </c>
      <c r="AP48" s="219">
        <f t="shared" si="159"/>
        <v>0</v>
      </c>
      <c r="AQ48" s="308">
        <v>4</v>
      </c>
      <c r="AR48" s="308">
        <v>12</v>
      </c>
      <c r="AS48" s="220">
        <v>1</v>
      </c>
      <c r="AT48" s="220">
        <v>12</v>
      </c>
      <c r="AU48" s="221">
        <f t="shared" si="61"/>
        <v>43313</v>
      </c>
      <c r="AV48" s="221">
        <f t="shared" si="62"/>
        <v>43617</v>
      </c>
      <c r="AW48" s="222">
        <f t="shared" si="92"/>
        <v>5.7099999999999998E-2</v>
      </c>
      <c r="AX48" s="222">
        <f t="shared" si="93"/>
        <v>9.64E-2</v>
      </c>
      <c r="AY48" s="219">
        <f t="shared" si="160"/>
        <v>0</v>
      </c>
      <c r="AZ48" s="219">
        <f t="shared" si="161"/>
        <v>0</v>
      </c>
      <c r="BA48" s="309"/>
      <c r="BB48" s="310"/>
      <c r="BC48" s="223" t="e">
        <f t="shared" si="157"/>
        <v>#DIV/0!</v>
      </c>
      <c r="BD48" s="224"/>
      <c r="BE48" s="225" t="e">
        <f t="shared" ref="BE48:BE93" si="169">J48/$AP48</f>
        <v>#DIV/0!</v>
      </c>
      <c r="BF48" s="225" t="e">
        <f t="shared" ref="BF48:BF93" si="170">K48/$AP48</f>
        <v>#DIV/0!</v>
      </c>
      <c r="BG48" s="225" t="e">
        <f t="shared" ref="BG48:BG93" si="171">L48/$AP48</f>
        <v>#DIV/0!</v>
      </c>
      <c r="BH48" s="225" t="e">
        <f t="shared" ref="BH48:BH93" si="172">M48/$AP48</f>
        <v>#DIV/0!</v>
      </c>
      <c r="BI48" s="225" t="e">
        <f t="shared" ref="BI48:BI93" si="173">N48/$AP48</f>
        <v>#DIV/0!</v>
      </c>
      <c r="BJ48" s="226"/>
      <c r="BK48" s="307"/>
      <c r="BL48" s="307"/>
      <c r="BM48" s="307"/>
      <c r="BN48" s="307"/>
      <c r="BO48" s="307"/>
      <c r="BP48" s="307"/>
      <c r="BQ48" s="307"/>
      <c r="BR48" s="307"/>
      <c r="BS48" s="307"/>
      <c r="BT48" s="307"/>
      <c r="BU48" s="307"/>
      <c r="BV48" s="307"/>
      <c r="BW48" s="307"/>
      <c r="BX48" s="307"/>
      <c r="BY48" s="307"/>
      <c r="BZ48" s="307"/>
      <c r="CA48" s="307"/>
      <c r="CB48" s="307"/>
      <c r="CC48" s="307"/>
      <c r="CD48" s="307"/>
      <c r="CE48" s="307"/>
      <c r="CF48" s="307"/>
      <c r="CG48" s="307"/>
      <c r="CH48" s="307"/>
      <c r="CI48" s="307"/>
      <c r="CJ48" s="307"/>
      <c r="CK48" s="307"/>
      <c r="CL48" s="307"/>
      <c r="CM48" s="307"/>
      <c r="CN48" s="307"/>
      <c r="CO48" s="307"/>
      <c r="CP48" s="307"/>
      <c r="CQ48" s="307"/>
      <c r="CR48" s="307"/>
      <c r="CS48" s="307"/>
      <c r="CT48" s="307"/>
      <c r="CU48" s="307"/>
      <c r="CV48" s="307"/>
      <c r="CW48" s="307"/>
      <c r="CX48" s="307"/>
    </row>
    <row r="49" spans="1:102" s="229" customFormat="1" ht="22.5" hidden="1">
      <c r="A49" s="304">
        <f t="shared" si="102"/>
        <v>46</v>
      </c>
      <c r="B49" s="302"/>
      <c r="C49" s="371"/>
      <c r="D49" s="230"/>
      <c r="E49" s="231" t="s">
        <v>241</v>
      </c>
      <c r="F49" s="232"/>
      <c r="G49" s="305"/>
      <c r="H49" s="233" t="s">
        <v>106</v>
      </c>
      <c r="I49" s="306"/>
      <c r="J49" s="307"/>
      <c r="K49" s="307"/>
      <c r="L49" s="307"/>
      <c r="M49" s="307"/>
      <c r="N49" s="307"/>
      <c r="O49" s="216">
        <f t="shared" si="73"/>
        <v>0</v>
      </c>
      <c r="P49" s="307">
        <f t="shared" si="74"/>
        <v>0</v>
      </c>
      <c r="Q49" s="307"/>
      <c r="R49" s="307"/>
      <c r="S49" s="307"/>
      <c r="T49" s="216">
        <f t="shared" si="75"/>
        <v>0</v>
      </c>
      <c r="U49" s="217">
        <f t="shared" si="76"/>
        <v>0</v>
      </c>
      <c r="V49" s="217">
        <f t="shared" si="77"/>
        <v>0</v>
      </c>
      <c r="W49" s="307">
        <f t="shared" si="137"/>
        <v>0</v>
      </c>
      <c r="X49" s="215"/>
      <c r="Y49" s="215"/>
      <c r="Z49" s="307"/>
      <c r="AA49" s="217">
        <f t="shared" si="138"/>
        <v>0</v>
      </c>
      <c r="AB49" s="217">
        <f t="shared" si="139"/>
        <v>0</v>
      </c>
      <c r="AC49" s="217">
        <f t="shared" si="140"/>
        <v>0</v>
      </c>
      <c r="AD49" s="217">
        <f t="shared" si="141"/>
        <v>0</v>
      </c>
      <c r="AE49" s="217">
        <f t="shared" si="82"/>
        <v>0</v>
      </c>
      <c r="AF49" s="217">
        <f t="shared" si="152"/>
        <v>0</v>
      </c>
      <c r="AG49" s="217">
        <f t="shared" si="153"/>
        <v>0</v>
      </c>
      <c r="AH49" s="217">
        <f t="shared" si="154"/>
        <v>0</v>
      </c>
      <c r="AI49" s="217">
        <f t="shared" si="155"/>
        <v>0</v>
      </c>
      <c r="AJ49" s="217">
        <f t="shared" ref="AJ49:AJ93" si="174">SUM(AF49:AI49)</f>
        <v>0</v>
      </c>
      <c r="AK49" s="218">
        <f t="shared" si="164"/>
        <v>0</v>
      </c>
      <c r="AL49" s="218">
        <f t="shared" si="158"/>
        <v>0</v>
      </c>
      <c r="AM49" s="218">
        <f t="shared" si="165"/>
        <v>0</v>
      </c>
      <c r="AN49" s="218">
        <f t="shared" si="162"/>
        <v>0</v>
      </c>
      <c r="AO49" s="218">
        <f t="shared" si="163"/>
        <v>0</v>
      </c>
      <c r="AP49" s="219">
        <f t="shared" si="159"/>
        <v>0</v>
      </c>
      <c r="AQ49" s="308">
        <v>4</v>
      </c>
      <c r="AR49" s="308">
        <v>12</v>
      </c>
      <c r="AS49" s="220">
        <v>1</v>
      </c>
      <c r="AT49" s="220">
        <v>12</v>
      </c>
      <c r="AU49" s="221">
        <f t="shared" si="61"/>
        <v>43313</v>
      </c>
      <c r="AV49" s="221">
        <f t="shared" si="62"/>
        <v>43617</v>
      </c>
      <c r="AW49" s="222">
        <f t="shared" si="92"/>
        <v>5.7099999999999998E-2</v>
      </c>
      <c r="AX49" s="222">
        <f t="shared" si="93"/>
        <v>9.64E-2</v>
      </c>
      <c r="AY49" s="219">
        <f t="shared" si="160"/>
        <v>0</v>
      </c>
      <c r="AZ49" s="219">
        <f t="shared" si="161"/>
        <v>0</v>
      </c>
      <c r="BA49" s="309"/>
      <c r="BB49" s="310"/>
      <c r="BC49" s="223" t="e">
        <f t="shared" si="157"/>
        <v>#DIV/0!</v>
      </c>
      <c r="BD49" s="224"/>
      <c r="BE49" s="225" t="e">
        <f t="shared" si="169"/>
        <v>#DIV/0!</v>
      </c>
      <c r="BF49" s="225" t="e">
        <f t="shared" si="170"/>
        <v>#DIV/0!</v>
      </c>
      <c r="BG49" s="225" t="e">
        <f t="shared" si="171"/>
        <v>#DIV/0!</v>
      </c>
      <c r="BH49" s="225" t="e">
        <f t="shared" si="172"/>
        <v>#DIV/0!</v>
      </c>
      <c r="BI49" s="225" t="e">
        <f t="shared" si="173"/>
        <v>#DIV/0!</v>
      </c>
      <c r="BJ49" s="226"/>
      <c r="BK49" s="307"/>
      <c r="BL49" s="307"/>
      <c r="BM49" s="307"/>
      <c r="BN49" s="307"/>
      <c r="BO49" s="307"/>
      <c r="BP49" s="307"/>
      <c r="BQ49" s="307"/>
      <c r="BR49" s="307"/>
      <c r="BS49" s="307"/>
      <c r="BT49" s="307"/>
      <c r="BU49" s="307"/>
      <c r="BV49" s="307"/>
      <c r="BW49" s="307"/>
      <c r="BX49" s="307"/>
      <c r="BY49" s="307"/>
      <c r="BZ49" s="307"/>
      <c r="CA49" s="307"/>
      <c r="CB49" s="307"/>
      <c r="CC49" s="307"/>
      <c r="CD49" s="307"/>
      <c r="CE49" s="307"/>
      <c r="CF49" s="307"/>
      <c r="CG49" s="307"/>
      <c r="CH49" s="307"/>
      <c r="CI49" s="307"/>
      <c r="CJ49" s="307"/>
      <c r="CK49" s="307"/>
      <c r="CL49" s="307"/>
      <c r="CM49" s="307"/>
      <c r="CN49" s="307"/>
      <c r="CO49" s="307"/>
      <c r="CP49" s="307"/>
      <c r="CQ49" s="307"/>
      <c r="CR49" s="307"/>
      <c r="CS49" s="307"/>
      <c r="CT49" s="307"/>
      <c r="CU49" s="307"/>
      <c r="CV49" s="307"/>
      <c r="CW49" s="307"/>
      <c r="CX49" s="307"/>
    </row>
    <row r="50" spans="1:102" s="229" customFormat="1" ht="22.5" hidden="1">
      <c r="A50" s="304">
        <f t="shared" si="102"/>
        <v>47</v>
      </c>
      <c r="B50" s="302"/>
      <c r="C50" s="371"/>
      <c r="D50" s="230"/>
      <c r="E50" s="231" t="s">
        <v>241</v>
      </c>
      <c r="F50" s="232"/>
      <c r="G50" s="305"/>
      <c r="H50" s="233" t="s">
        <v>106</v>
      </c>
      <c r="I50" s="306"/>
      <c r="J50" s="307"/>
      <c r="K50" s="307"/>
      <c r="L50" s="307"/>
      <c r="M50" s="307"/>
      <c r="N50" s="307"/>
      <c r="O50" s="216">
        <f t="shared" si="73"/>
        <v>0</v>
      </c>
      <c r="P50" s="307">
        <f t="shared" si="74"/>
        <v>0</v>
      </c>
      <c r="Q50" s="307"/>
      <c r="R50" s="307"/>
      <c r="S50" s="307"/>
      <c r="T50" s="216">
        <f t="shared" si="75"/>
        <v>0</v>
      </c>
      <c r="U50" s="217">
        <f t="shared" si="76"/>
        <v>0</v>
      </c>
      <c r="V50" s="217">
        <f t="shared" si="77"/>
        <v>0</v>
      </c>
      <c r="W50" s="307">
        <f t="shared" si="137"/>
        <v>0</v>
      </c>
      <c r="X50" s="215"/>
      <c r="Y50" s="215"/>
      <c r="Z50" s="307"/>
      <c r="AA50" s="217">
        <f t="shared" si="138"/>
        <v>0</v>
      </c>
      <c r="AB50" s="217">
        <f t="shared" si="139"/>
        <v>0</v>
      </c>
      <c r="AC50" s="217">
        <f t="shared" si="140"/>
        <v>0</v>
      </c>
      <c r="AD50" s="217">
        <f t="shared" si="141"/>
        <v>0</v>
      </c>
      <c r="AE50" s="217">
        <f t="shared" si="82"/>
        <v>0</v>
      </c>
      <c r="AF50" s="217">
        <f t="shared" si="152"/>
        <v>0</v>
      </c>
      <c r="AG50" s="217">
        <f t="shared" si="153"/>
        <v>0</v>
      </c>
      <c r="AH50" s="217">
        <f t="shared" si="154"/>
        <v>0</v>
      </c>
      <c r="AI50" s="217">
        <f t="shared" si="155"/>
        <v>0</v>
      </c>
      <c r="AJ50" s="217">
        <f t="shared" si="174"/>
        <v>0</v>
      </c>
      <c r="AK50" s="218">
        <f t="shared" si="164"/>
        <v>0</v>
      </c>
      <c r="AL50" s="218">
        <f t="shared" si="158"/>
        <v>0</v>
      </c>
      <c r="AM50" s="218">
        <f t="shared" si="165"/>
        <v>0</v>
      </c>
      <c r="AN50" s="218">
        <f t="shared" si="162"/>
        <v>0</v>
      </c>
      <c r="AO50" s="218">
        <f t="shared" si="163"/>
        <v>0</v>
      </c>
      <c r="AP50" s="219">
        <f t="shared" si="159"/>
        <v>0</v>
      </c>
      <c r="AQ50" s="308">
        <v>4</v>
      </c>
      <c r="AR50" s="308">
        <v>12</v>
      </c>
      <c r="AS50" s="220">
        <v>1</v>
      </c>
      <c r="AT50" s="220">
        <v>12</v>
      </c>
      <c r="AU50" s="221">
        <f t="shared" si="61"/>
        <v>43313</v>
      </c>
      <c r="AV50" s="221">
        <f t="shared" si="62"/>
        <v>43617</v>
      </c>
      <c r="AW50" s="222">
        <f t="shared" si="92"/>
        <v>5.7099999999999998E-2</v>
      </c>
      <c r="AX50" s="222">
        <f t="shared" si="93"/>
        <v>9.64E-2</v>
      </c>
      <c r="AY50" s="219">
        <f t="shared" si="160"/>
        <v>0</v>
      </c>
      <c r="AZ50" s="219">
        <f t="shared" si="161"/>
        <v>0</v>
      </c>
      <c r="BA50" s="309"/>
      <c r="BB50" s="310"/>
      <c r="BC50" s="223" t="e">
        <f t="shared" si="157"/>
        <v>#DIV/0!</v>
      </c>
      <c r="BD50" s="224"/>
      <c r="BE50" s="225" t="e">
        <f t="shared" si="169"/>
        <v>#DIV/0!</v>
      </c>
      <c r="BF50" s="225" t="e">
        <f t="shared" si="170"/>
        <v>#DIV/0!</v>
      </c>
      <c r="BG50" s="225" t="e">
        <f t="shared" si="171"/>
        <v>#DIV/0!</v>
      </c>
      <c r="BH50" s="225" t="e">
        <f t="shared" si="172"/>
        <v>#DIV/0!</v>
      </c>
      <c r="BI50" s="225" t="e">
        <f t="shared" si="173"/>
        <v>#DIV/0!</v>
      </c>
      <c r="BJ50" s="226"/>
      <c r="BK50" s="307"/>
      <c r="BL50" s="307"/>
      <c r="BM50" s="307"/>
      <c r="BN50" s="307"/>
      <c r="BO50" s="307"/>
      <c r="BP50" s="307"/>
      <c r="BQ50" s="307"/>
      <c r="BR50" s="307"/>
      <c r="BS50" s="307"/>
      <c r="BT50" s="307"/>
      <c r="BU50" s="307"/>
      <c r="BV50" s="307"/>
      <c r="BW50" s="307"/>
      <c r="BX50" s="307"/>
      <c r="BY50" s="307"/>
      <c r="BZ50" s="307"/>
      <c r="CA50" s="307"/>
      <c r="CB50" s="307"/>
      <c r="CC50" s="307"/>
      <c r="CD50" s="307"/>
      <c r="CE50" s="307"/>
      <c r="CF50" s="307"/>
      <c r="CG50" s="307"/>
      <c r="CH50" s="307"/>
      <c r="CI50" s="307"/>
      <c r="CJ50" s="307"/>
      <c r="CK50" s="307"/>
      <c r="CL50" s="307"/>
      <c r="CM50" s="307"/>
      <c r="CN50" s="307"/>
      <c r="CO50" s="307"/>
      <c r="CP50" s="307"/>
      <c r="CQ50" s="307"/>
      <c r="CR50" s="307"/>
      <c r="CS50" s="307"/>
      <c r="CT50" s="307"/>
      <c r="CU50" s="307"/>
      <c r="CV50" s="307"/>
      <c r="CW50" s="307"/>
      <c r="CX50" s="307"/>
    </row>
    <row r="51" spans="1:102" s="229" customFormat="1" ht="22.5" hidden="1">
      <c r="A51" s="304">
        <f t="shared" si="102"/>
        <v>48</v>
      </c>
      <c r="B51" s="302"/>
      <c r="C51" s="371"/>
      <c r="D51" s="230"/>
      <c r="E51" s="231" t="s">
        <v>241</v>
      </c>
      <c r="F51" s="232"/>
      <c r="G51" s="305"/>
      <c r="H51" s="233" t="s">
        <v>106</v>
      </c>
      <c r="I51" s="306"/>
      <c r="J51" s="307"/>
      <c r="K51" s="307"/>
      <c r="L51" s="307"/>
      <c r="M51" s="307"/>
      <c r="N51" s="307"/>
      <c r="O51" s="216">
        <f t="shared" si="73"/>
        <v>0</v>
      </c>
      <c r="P51" s="307">
        <f t="shared" ref="P51:P92" si="175">ROUND(SUM(J51:N51),0)</f>
        <v>0</v>
      </c>
      <c r="Q51" s="307"/>
      <c r="R51" s="307"/>
      <c r="S51" s="307"/>
      <c r="T51" s="216">
        <f t="shared" ref="T51:T70" si="176">SUM(P51:S51)</f>
        <v>0</v>
      </c>
      <c r="U51" s="217">
        <f t="shared" si="76"/>
        <v>0</v>
      </c>
      <c r="V51" s="217">
        <f t="shared" si="77"/>
        <v>0</v>
      </c>
      <c r="W51" s="307">
        <f t="shared" si="137"/>
        <v>0</v>
      </c>
      <c r="X51" s="215"/>
      <c r="Y51" s="215"/>
      <c r="Z51" s="307"/>
      <c r="AA51" s="217">
        <f t="shared" si="138"/>
        <v>0</v>
      </c>
      <c r="AB51" s="217">
        <f t="shared" si="139"/>
        <v>0</v>
      </c>
      <c r="AC51" s="217">
        <f t="shared" si="140"/>
        <v>0</v>
      </c>
      <c r="AD51" s="217">
        <f t="shared" si="141"/>
        <v>0</v>
      </c>
      <c r="AE51" s="217">
        <f t="shared" si="82"/>
        <v>0</v>
      </c>
      <c r="AF51" s="217">
        <f t="shared" si="152"/>
        <v>0</v>
      </c>
      <c r="AG51" s="217">
        <f t="shared" si="153"/>
        <v>0</v>
      </c>
      <c r="AH51" s="217">
        <f t="shared" si="154"/>
        <v>0</v>
      </c>
      <c r="AI51" s="217">
        <f t="shared" si="155"/>
        <v>0</v>
      </c>
      <c r="AJ51" s="217">
        <f t="shared" ref="AJ51:AJ54" si="177">SUM(AF51:AI51)</f>
        <v>0</v>
      </c>
      <c r="AK51" s="218">
        <f t="shared" si="164"/>
        <v>0</v>
      </c>
      <c r="AL51" s="218">
        <f t="shared" si="158"/>
        <v>0</v>
      </c>
      <c r="AM51" s="218">
        <f t="shared" si="165"/>
        <v>0</v>
      </c>
      <c r="AN51" s="218">
        <f t="shared" si="162"/>
        <v>0</v>
      </c>
      <c r="AO51" s="218">
        <f t="shared" si="163"/>
        <v>0</v>
      </c>
      <c r="AP51" s="219">
        <f t="shared" si="159"/>
        <v>0</v>
      </c>
      <c r="AQ51" s="308">
        <v>4</v>
      </c>
      <c r="AR51" s="308">
        <v>12</v>
      </c>
      <c r="AS51" s="220">
        <v>1</v>
      </c>
      <c r="AT51" s="220">
        <v>12</v>
      </c>
      <c r="AU51" s="221">
        <f t="shared" si="61"/>
        <v>43313</v>
      </c>
      <c r="AV51" s="221">
        <f t="shared" si="62"/>
        <v>43617</v>
      </c>
      <c r="AW51" s="222">
        <f t="shared" si="92"/>
        <v>5.7099999999999998E-2</v>
      </c>
      <c r="AX51" s="222">
        <f t="shared" si="93"/>
        <v>9.64E-2</v>
      </c>
      <c r="AY51" s="219">
        <f t="shared" si="160"/>
        <v>0</v>
      </c>
      <c r="AZ51" s="219">
        <f t="shared" si="161"/>
        <v>0</v>
      </c>
      <c r="BA51" s="309"/>
      <c r="BB51" s="310"/>
      <c r="BC51" s="223" t="e">
        <f t="shared" si="157"/>
        <v>#DIV/0!</v>
      </c>
      <c r="BD51" s="224"/>
      <c r="BE51" s="225" t="e">
        <f t="shared" si="169"/>
        <v>#DIV/0!</v>
      </c>
      <c r="BF51" s="225" t="e">
        <f t="shared" si="170"/>
        <v>#DIV/0!</v>
      </c>
      <c r="BG51" s="225" t="e">
        <f t="shared" si="171"/>
        <v>#DIV/0!</v>
      </c>
      <c r="BH51" s="225" t="e">
        <f t="shared" si="172"/>
        <v>#DIV/0!</v>
      </c>
      <c r="BI51" s="225" t="e">
        <f t="shared" si="173"/>
        <v>#DIV/0!</v>
      </c>
      <c r="BJ51" s="226"/>
      <c r="BK51" s="307"/>
      <c r="BL51" s="307"/>
      <c r="BM51" s="307"/>
      <c r="BN51" s="307"/>
      <c r="BO51" s="307"/>
      <c r="BP51" s="307"/>
      <c r="BQ51" s="307"/>
      <c r="BR51" s="307"/>
      <c r="BS51" s="307"/>
      <c r="BT51" s="307"/>
      <c r="BU51" s="307"/>
      <c r="BV51" s="307"/>
      <c r="BW51" s="307"/>
      <c r="BX51" s="307"/>
      <c r="BY51" s="307"/>
      <c r="BZ51" s="307"/>
      <c r="CA51" s="307"/>
      <c r="CB51" s="307"/>
      <c r="CC51" s="307"/>
      <c r="CD51" s="307"/>
      <c r="CE51" s="307"/>
      <c r="CF51" s="307"/>
      <c r="CG51" s="307"/>
      <c r="CH51" s="307"/>
      <c r="CI51" s="307"/>
      <c r="CJ51" s="307"/>
      <c r="CK51" s="307"/>
      <c r="CL51" s="307"/>
      <c r="CM51" s="307"/>
      <c r="CN51" s="307"/>
      <c r="CO51" s="307"/>
      <c r="CP51" s="307"/>
      <c r="CQ51" s="307"/>
      <c r="CR51" s="307"/>
      <c r="CS51" s="307"/>
      <c r="CT51" s="307"/>
      <c r="CU51" s="307"/>
      <c r="CV51" s="307"/>
      <c r="CW51" s="307"/>
      <c r="CX51" s="307"/>
    </row>
    <row r="52" spans="1:102" s="229" customFormat="1" ht="22.5" hidden="1">
      <c r="A52" s="304">
        <f t="shared" si="102"/>
        <v>49</v>
      </c>
      <c r="B52" s="302"/>
      <c r="C52" s="371"/>
      <c r="D52" s="230"/>
      <c r="E52" s="231" t="s">
        <v>241</v>
      </c>
      <c r="F52" s="232"/>
      <c r="G52" s="305"/>
      <c r="H52" s="233" t="s">
        <v>106</v>
      </c>
      <c r="I52" s="306"/>
      <c r="J52" s="307"/>
      <c r="K52" s="307"/>
      <c r="L52" s="307"/>
      <c r="M52" s="307"/>
      <c r="N52" s="307"/>
      <c r="O52" s="216">
        <f t="shared" si="73"/>
        <v>0</v>
      </c>
      <c r="P52" s="307">
        <f t="shared" si="175"/>
        <v>0</v>
      </c>
      <c r="Q52" s="307"/>
      <c r="R52" s="307"/>
      <c r="S52" s="307"/>
      <c r="T52" s="216">
        <f t="shared" si="176"/>
        <v>0</v>
      </c>
      <c r="U52" s="217">
        <f t="shared" si="76"/>
        <v>0</v>
      </c>
      <c r="V52" s="217">
        <f t="shared" si="77"/>
        <v>0</v>
      </c>
      <c r="W52" s="307">
        <f t="shared" si="137"/>
        <v>0</v>
      </c>
      <c r="X52" s="215"/>
      <c r="Y52" s="215"/>
      <c r="Z52" s="307"/>
      <c r="AA52" s="217">
        <f t="shared" si="138"/>
        <v>0</v>
      </c>
      <c r="AB52" s="217">
        <f t="shared" si="139"/>
        <v>0</v>
      </c>
      <c r="AC52" s="217">
        <f t="shared" si="140"/>
        <v>0</v>
      </c>
      <c r="AD52" s="217">
        <f t="shared" si="141"/>
        <v>0</v>
      </c>
      <c r="AE52" s="217">
        <f t="shared" si="82"/>
        <v>0</v>
      </c>
      <c r="AF52" s="217">
        <f t="shared" si="152"/>
        <v>0</v>
      </c>
      <c r="AG52" s="217">
        <f t="shared" si="153"/>
        <v>0</v>
      </c>
      <c r="AH52" s="217">
        <f t="shared" si="154"/>
        <v>0</v>
      </c>
      <c r="AI52" s="217">
        <f t="shared" si="155"/>
        <v>0</v>
      </c>
      <c r="AJ52" s="217">
        <f t="shared" si="177"/>
        <v>0</v>
      </c>
      <c r="AK52" s="218">
        <f t="shared" si="164"/>
        <v>0</v>
      </c>
      <c r="AL52" s="218">
        <f t="shared" si="158"/>
        <v>0</v>
      </c>
      <c r="AM52" s="218">
        <f t="shared" si="165"/>
        <v>0</v>
      </c>
      <c r="AN52" s="218">
        <f t="shared" si="162"/>
        <v>0</v>
      </c>
      <c r="AO52" s="218">
        <f t="shared" si="163"/>
        <v>0</v>
      </c>
      <c r="AP52" s="219">
        <f t="shared" si="159"/>
        <v>0</v>
      </c>
      <c r="AQ52" s="308">
        <v>4</v>
      </c>
      <c r="AR52" s="308">
        <v>12</v>
      </c>
      <c r="AS52" s="220">
        <v>1</v>
      </c>
      <c r="AT52" s="220">
        <v>12</v>
      </c>
      <c r="AU52" s="221">
        <f t="shared" si="61"/>
        <v>43313</v>
      </c>
      <c r="AV52" s="221">
        <f t="shared" si="62"/>
        <v>43617</v>
      </c>
      <c r="AW52" s="222">
        <f t="shared" si="92"/>
        <v>5.7099999999999998E-2</v>
      </c>
      <c r="AX52" s="222">
        <f t="shared" si="93"/>
        <v>9.64E-2</v>
      </c>
      <c r="AY52" s="219">
        <f t="shared" si="160"/>
        <v>0</v>
      </c>
      <c r="AZ52" s="219">
        <f t="shared" si="161"/>
        <v>0</v>
      </c>
      <c r="BA52" s="309"/>
      <c r="BB52" s="310"/>
      <c r="BC52" s="223" t="e">
        <f t="shared" si="157"/>
        <v>#DIV/0!</v>
      </c>
      <c r="BD52" s="224"/>
      <c r="BE52" s="225" t="e">
        <f t="shared" si="169"/>
        <v>#DIV/0!</v>
      </c>
      <c r="BF52" s="225" t="e">
        <f t="shared" si="170"/>
        <v>#DIV/0!</v>
      </c>
      <c r="BG52" s="225" t="e">
        <f t="shared" si="171"/>
        <v>#DIV/0!</v>
      </c>
      <c r="BH52" s="225" t="e">
        <f t="shared" si="172"/>
        <v>#DIV/0!</v>
      </c>
      <c r="BI52" s="225" t="e">
        <f t="shared" si="173"/>
        <v>#DIV/0!</v>
      </c>
      <c r="BJ52" s="226"/>
      <c r="BK52" s="307"/>
      <c r="BL52" s="307"/>
      <c r="BM52" s="307"/>
      <c r="BN52" s="307"/>
      <c r="BO52" s="307"/>
      <c r="BP52" s="307"/>
      <c r="BQ52" s="307"/>
      <c r="BR52" s="307"/>
      <c r="BS52" s="307"/>
      <c r="BT52" s="307"/>
      <c r="BU52" s="307"/>
      <c r="BV52" s="307"/>
      <c r="BW52" s="307"/>
      <c r="BX52" s="307"/>
      <c r="BY52" s="307"/>
      <c r="BZ52" s="307"/>
      <c r="CA52" s="307"/>
      <c r="CB52" s="307"/>
      <c r="CC52" s="307"/>
      <c r="CD52" s="307"/>
      <c r="CE52" s="307"/>
      <c r="CF52" s="307"/>
      <c r="CG52" s="307"/>
      <c r="CH52" s="307"/>
      <c r="CI52" s="307"/>
      <c r="CJ52" s="307"/>
      <c r="CK52" s="307"/>
      <c r="CL52" s="307"/>
      <c r="CM52" s="307"/>
      <c r="CN52" s="307"/>
      <c r="CO52" s="307"/>
      <c r="CP52" s="307"/>
      <c r="CQ52" s="307"/>
      <c r="CR52" s="307"/>
      <c r="CS52" s="307"/>
      <c r="CT52" s="307"/>
      <c r="CU52" s="307"/>
      <c r="CV52" s="307"/>
      <c r="CW52" s="307"/>
      <c r="CX52" s="307"/>
    </row>
    <row r="53" spans="1:102" s="229" customFormat="1" ht="22.5" hidden="1">
      <c r="A53" s="304">
        <f t="shared" si="102"/>
        <v>50</v>
      </c>
      <c r="B53" s="302"/>
      <c r="C53" s="371"/>
      <c r="D53" s="230"/>
      <c r="E53" s="231" t="s">
        <v>241</v>
      </c>
      <c r="F53" s="232"/>
      <c r="G53" s="305"/>
      <c r="H53" s="233" t="s">
        <v>106</v>
      </c>
      <c r="I53" s="306"/>
      <c r="J53" s="307"/>
      <c r="K53" s="307"/>
      <c r="L53" s="307"/>
      <c r="M53" s="307"/>
      <c r="N53" s="307"/>
      <c r="O53" s="216">
        <f t="shared" si="73"/>
        <v>0</v>
      </c>
      <c r="P53" s="307">
        <f t="shared" si="175"/>
        <v>0</v>
      </c>
      <c r="Q53" s="307"/>
      <c r="R53" s="307"/>
      <c r="S53" s="307"/>
      <c r="T53" s="216">
        <f t="shared" si="176"/>
        <v>0</v>
      </c>
      <c r="U53" s="217">
        <f t="shared" si="76"/>
        <v>0</v>
      </c>
      <c r="V53" s="217">
        <f t="shared" si="77"/>
        <v>0</v>
      </c>
      <c r="W53" s="307">
        <f t="shared" si="137"/>
        <v>0</v>
      </c>
      <c r="X53" s="215"/>
      <c r="Y53" s="215"/>
      <c r="Z53" s="307"/>
      <c r="AA53" s="217">
        <f t="shared" si="138"/>
        <v>0</v>
      </c>
      <c r="AB53" s="217">
        <f t="shared" si="139"/>
        <v>0</v>
      </c>
      <c r="AC53" s="217">
        <f t="shared" si="140"/>
        <v>0</v>
      </c>
      <c r="AD53" s="217">
        <f t="shared" si="141"/>
        <v>0</v>
      </c>
      <c r="AE53" s="217">
        <f t="shared" si="82"/>
        <v>0</v>
      </c>
      <c r="AF53" s="217">
        <f t="shared" si="152"/>
        <v>0</v>
      </c>
      <c r="AG53" s="217">
        <f t="shared" si="153"/>
        <v>0</v>
      </c>
      <c r="AH53" s="217">
        <f t="shared" si="154"/>
        <v>0</v>
      </c>
      <c r="AI53" s="217">
        <f t="shared" si="155"/>
        <v>0</v>
      </c>
      <c r="AJ53" s="217">
        <f t="shared" si="177"/>
        <v>0</v>
      </c>
      <c r="AK53" s="218">
        <f t="shared" si="164"/>
        <v>0</v>
      </c>
      <c r="AL53" s="218">
        <f t="shared" si="158"/>
        <v>0</v>
      </c>
      <c r="AM53" s="218">
        <f t="shared" si="165"/>
        <v>0</v>
      </c>
      <c r="AN53" s="218">
        <f t="shared" si="162"/>
        <v>0</v>
      </c>
      <c r="AO53" s="218">
        <f t="shared" si="163"/>
        <v>0</v>
      </c>
      <c r="AP53" s="219">
        <f t="shared" si="159"/>
        <v>0</v>
      </c>
      <c r="AQ53" s="308">
        <v>4</v>
      </c>
      <c r="AR53" s="308">
        <v>12</v>
      </c>
      <c r="AS53" s="220">
        <v>1</v>
      </c>
      <c r="AT53" s="220">
        <v>12</v>
      </c>
      <c r="AU53" s="221">
        <f t="shared" si="61"/>
        <v>43313</v>
      </c>
      <c r="AV53" s="221">
        <f t="shared" si="62"/>
        <v>43617</v>
      </c>
      <c r="AW53" s="222">
        <f t="shared" si="92"/>
        <v>5.7099999999999998E-2</v>
      </c>
      <c r="AX53" s="222">
        <f t="shared" si="93"/>
        <v>9.64E-2</v>
      </c>
      <c r="AY53" s="219">
        <f t="shared" si="160"/>
        <v>0</v>
      </c>
      <c r="AZ53" s="219">
        <f t="shared" si="161"/>
        <v>0</v>
      </c>
      <c r="BA53" s="309"/>
      <c r="BB53" s="310"/>
      <c r="BC53" s="223" t="e">
        <f t="shared" si="157"/>
        <v>#DIV/0!</v>
      </c>
      <c r="BD53" s="224"/>
      <c r="BE53" s="225" t="e">
        <f t="shared" si="169"/>
        <v>#DIV/0!</v>
      </c>
      <c r="BF53" s="225" t="e">
        <f t="shared" si="170"/>
        <v>#DIV/0!</v>
      </c>
      <c r="BG53" s="225" t="e">
        <f t="shared" si="171"/>
        <v>#DIV/0!</v>
      </c>
      <c r="BH53" s="225" t="e">
        <f t="shared" si="172"/>
        <v>#DIV/0!</v>
      </c>
      <c r="BI53" s="225" t="e">
        <f t="shared" si="173"/>
        <v>#DIV/0!</v>
      </c>
      <c r="BJ53" s="226"/>
      <c r="BK53" s="307"/>
      <c r="BL53" s="307"/>
      <c r="BM53" s="307"/>
      <c r="BN53" s="307"/>
      <c r="BO53" s="307"/>
      <c r="BP53" s="307"/>
      <c r="BQ53" s="307"/>
      <c r="BR53" s="307"/>
      <c r="BS53" s="307"/>
      <c r="BT53" s="307"/>
      <c r="BU53" s="307"/>
      <c r="BV53" s="307"/>
      <c r="BW53" s="307"/>
      <c r="BX53" s="307"/>
      <c r="BY53" s="307"/>
      <c r="BZ53" s="307"/>
      <c r="CA53" s="307"/>
      <c r="CB53" s="307"/>
      <c r="CC53" s="307"/>
      <c r="CD53" s="307"/>
      <c r="CE53" s="307"/>
      <c r="CF53" s="307"/>
      <c r="CG53" s="307"/>
      <c r="CH53" s="307"/>
      <c r="CI53" s="307"/>
      <c r="CJ53" s="307"/>
      <c r="CK53" s="307"/>
      <c r="CL53" s="307"/>
      <c r="CM53" s="307"/>
      <c r="CN53" s="307"/>
      <c r="CO53" s="307"/>
      <c r="CP53" s="307"/>
      <c r="CQ53" s="307"/>
      <c r="CR53" s="307"/>
      <c r="CS53" s="307"/>
      <c r="CT53" s="307"/>
      <c r="CU53" s="307"/>
      <c r="CV53" s="307"/>
      <c r="CW53" s="307"/>
      <c r="CX53" s="307"/>
    </row>
    <row r="54" spans="1:102" s="229" customFormat="1" ht="22.5" hidden="1">
      <c r="A54" s="304">
        <f t="shared" si="102"/>
        <v>51</v>
      </c>
      <c r="B54" s="302"/>
      <c r="C54" s="371"/>
      <c r="D54" s="230"/>
      <c r="E54" s="231" t="s">
        <v>241</v>
      </c>
      <c r="F54" s="232"/>
      <c r="G54" s="305"/>
      <c r="H54" s="233" t="s">
        <v>106</v>
      </c>
      <c r="I54" s="306"/>
      <c r="J54" s="307"/>
      <c r="K54" s="307"/>
      <c r="L54" s="307"/>
      <c r="M54" s="307"/>
      <c r="N54" s="307"/>
      <c r="O54" s="216">
        <f t="shared" si="73"/>
        <v>0</v>
      </c>
      <c r="P54" s="307">
        <f t="shared" si="175"/>
        <v>0</v>
      </c>
      <c r="Q54" s="307"/>
      <c r="R54" s="307"/>
      <c r="S54" s="307"/>
      <c r="T54" s="216">
        <f t="shared" si="176"/>
        <v>0</v>
      </c>
      <c r="U54" s="217">
        <f t="shared" si="76"/>
        <v>0</v>
      </c>
      <c r="V54" s="217">
        <f t="shared" si="77"/>
        <v>0</v>
      </c>
      <c r="W54" s="307">
        <f t="shared" si="137"/>
        <v>0</v>
      </c>
      <c r="X54" s="215"/>
      <c r="Y54" s="215"/>
      <c r="Z54" s="307"/>
      <c r="AA54" s="217">
        <f t="shared" si="138"/>
        <v>0</v>
      </c>
      <c r="AB54" s="217">
        <f t="shared" si="139"/>
        <v>0</v>
      </c>
      <c r="AC54" s="217">
        <f t="shared" si="140"/>
        <v>0</v>
      </c>
      <c r="AD54" s="217">
        <f t="shared" si="141"/>
        <v>0</v>
      </c>
      <c r="AE54" s="217">
        <f t="shared" si="82"/>
        <v>0</v>
      </c>
      <c r="AF54" s="217">
        <f t="shared" si="152"/>
        <v>0</v>
      </c>
      <c r="AG54" s="217">
        <f t="shared" si="153"/>
        <v>0</v>
      </c>
      <c r="AH54" s="217">
        <f t="shared" si="154"/>
        <v>0</v>
      </c>
      <c r="AI54" s="217">
        <f t="shared" si="155"/>
        <v>0</v>
      </c>
      <c r="AJ54" s="217">
        <f t="shared" si="177"/>
        <v>0</v>
      </c>
      <c r="AK54" s="218">
        <f t="shared" si="164"/>
        <v>0</v>
      </c>
      <c r="AL54" s="218">
        <f t="shared" si="158"/>
        <v>0</v>
      </c>
      <c r="AM54" s="218">
        <f t="shared" si="165"/>
        <v>0</v>
      </c>
      <c r="AN54" s="218">
        <f t="shared" si="162"/>
        <v>0</v>
      </c>
      <c r="AO54" s="218">
        <f t="shared" si="163"/>
        <v>0</v>
      </c>
      <c r="AP54" s="219">
        <f t="shared" si="159"/>
        <v>0</v>
      </c>
      <c r="AQ54" s="308">
        <v>4</v>
      </c>
      <c r="AR54" s="308">
        <v>12</v>
      </c>
      <c r="AS54" s="220">
        <v>1</v>
      </c>
      <c r="AT54" s="220">
        <v>12</v>
      </c>
      <c r="AU54" s="221">
        <f t="shared" si="61"/>
        <v>43313</v>
      </c>
      <c r="AV54" s="221">
        <f t="shared" si="62"/>
        <v>43617</v>
      </c>
      <c r="AW54" s="222">
        <f t="shared" si="92"/>
        <v>5.7099999999999998E-2</v>
      </c>
      <c r="AX54" s="222">
        <f t="shared" si="93"/>
        <v>9.64E-2</v>
      </c>
      <c r="AY54" s="219">
        <f t="shared" si="160"/>
        <v>0</v>
      </c>
      <c r="AZ54" s="219">
        <f t="shared" si="161"/>
        <v>0</v>
      </c>
      <c r="BA54" s="309"/>
      <c r="BB54" s="310"/>
      <c r="BC54" s="223" t="e">
        <f t="shared" si="157"/>
        <v>#DIV/0!</v>
      </c>
      <c r="BD54" s="224"/>
      <c r="BE54" s="225" t="e">
        <f t="shared" si="169"/>
        <v>#DIV/0!</v>
      </c>
      <c r="BF54" s="225" t="e">
        <f t="shared" si="170"/>
        <v>#DIV/0!</v>
      </c>
      <c r="BG54" s="225" t="e">
        <f t="shared" si="171"/>
        <v>#DIV/0!</v>
      </c>
      <c r="BH54" s="225" t="e">
        <f t="shared" si="172"/>
        <v>#DIV/0!</v>
      </c>
      <c r="BI54" s="225" t="e">
        <f t="shared" si="173"/>
        <v>#DIV/0!</v>
      </c>
      <c r="BJ54" s="226"/>
      <c r="BK54" s="307"/>
      <c r="BL54" s="307"/>
      <c r="BM54" s="307"/>
      <c r="BN54" s="307"/>
      <c r="BO54" s="307"/>
      <c r="BP54" s="307"/>
      <c r="BQ54" s="307"/>
      <c r="BR54" s="307"/>
      <c r="BS54" s="307"/>
      <c r="BT54" s="307"/>
      <c r="BU54" s="307"/>
      <c r="BV54" s="307"/>
      <c r="BW54" s="307"/>
      <c r="BX54" s="307"/>
      <c r="BY54" s="307"/>
      <c r="BZ54" s="307"/>
      <c r="CA54" s="307"/>
      <c r="CB54" s="307"/>
      <c r="CC54" s="307"/>
      <c r="CD54" s="307"/>
      <c r="CE54" s="307"/>
      <c r="CF54" s="307"/>
      <c r="CG54" s="307"/>
      <c r="CH54" s="307"/>
      <c r="CI54" s="307"/>
      <c r="CJ54" s="307"/>
      <c r="CK54" s="307"/>
      <c r="CL54" s="307"/>
      <c r="CM54" s="307"/>
      <c r="CN54" s="307"/>
      <c r="CO54" s="307"/>
      <c r="CP54" s="307"/>
      <c r="CQ54" s="307"/>
      <c r="CR54" s="307"/>
      <c r="CS54" s="307"/>
      <c r="CT54" s="307"/>
      <c r="CU54" s="307"/>
      <c r="CV54" s="307"/>
      <c r="CW54" s="307"/>
      <c r="CX54" s="307"/>
    </row>
    <row r="55" spans="1:102" s="229" customFormat="1" ht="22.5" hidden="1">
      <c r="A55" s="304">
        <f t="shared" si="102"/>
        <v>52</v>
      </c>
      <c r="B55" s="302"/>
      <c r="C55" s="371"/>
      <c r="D55" s="230"/>
      <c r="E55" s="231" t="s">
        <v>241</v>
      </c>
      <c r="F55" s="232"/>
      <c r="G55" s="305"/>
      <c r="H55" s="233" t="s">
        <v>106</v>
      </c>
      <c r="I55" s="306"/>
      <c r="J55" s="307"/>
      <c r="K55" s="307"/>
      <c r="L55" s="307"/>
      <c r="M55" s="307"/>
      <c r="N55" s="307"/>
      <c r="O55" s="216">
        <f t="shared" si="73"/>
        <v>0</v>
      </c>
      <c r="P55" s="307">
        <f t="shared" si="175"/>
        <v>0</v>
      </c>
      <c r="Q55" s="307"/>
      <c r="R55" s="307"/>
      <c r="S55" s="307"/>
      <c r="T55" s="216">
        <f t="shared" si="176"/>
        <v>0</v>
      </c>
      <c r="U55" s="217">
        <f t="shared" si="76"/>
        <v>0</v>
      </c>
      <c r="V55" s="217">
        <f t="shared" si="77"/>
        <v>0</v>
      </c>
      <c r="W55" s="307">
        <f t="shared" si="137"/>
        <v>0</v>
      </c>
      <c r="X55" s="215"/>
      <c r="Y55" s="215"/>
      <c r="Z55" s="307"/>
      <c r="AA55" s="217">
        <f t="shared" si="138"/>
        <v>0</v>
      </c>
      <c r="AB55" s="217">
        <f t="shared" si="139"/>
        <v>0</v>
      </c>
      <c r="AC55" s="217">
        <f t="shared" si="140"/>
        <v>0</v>
      </c>
      <c r="AD55" s="217">
        <f t="shared" si="141"/>
        <v>0</v>
      </c>
      <c r="AE55" s="217">
        <f t="shared" si="82"/>
        <v>0</v>
      </c>
      <c r="AF55" s="217">
        <f t="shared" si="152"/>
        <v>0</v>
      </c>
      <c r="AG55" s="217">
        <f t="shared" si="153"/>
        <v>0</v>
      </c>
      <c r="AH55" s="217">
        <f t="shared" si="154"/>
        <v>0</v>
      </c>
      <c r="AI55" s="217">
        <f t="shared" si="155"/>
        <v>0</v>
      </c>
      <c r="AJ55" s="217">
        <f t="shared" ref="AJ55:AJ61" si="178">SUM(AF55:AI55)</f>
        <v>0</v>
      </c>
      <c r="AK55" s="218">
        <f t="shared" si="164"/>
        <v>0</v>
      </c>
      <c r="AL55" s="218">
        <f t="shared" si="158"/>
        <v>0</v>
      </c>
      <c r="AM55" s="218">
        <f t="shared" si="165"/>
        <v>0</v>
      </c>
      <c r="AN55" s="218">
        <f t="shared" si="162"/>
        <v>0</v>
      </c>
      <c r="AO55" s="218">
        <f t="shared" si="163"/>
        <v>0</v>
      </c>
      <c r="AP55" s="219">
        <f t="shared" si="159"/>
        <v>0</v>
      </c>
      <c r="AQ55" s="308">
        <v>4</v>
      </c>
      <c r="AR55" s="308">
        <v>12</v>
      </c>
      <c r="AS55" s="220">
        <v>1</v>
      </c>
      <c r="AT55" s="220">
        <v>12</v>
      </c>
      <c r="AU55" s="221">
        <f t="shared" si="61"/>
        <v>43313</v>
      </c>
      <c r="AV55" s="221">
        <f t="shared" si="62"/>
        <v>43617</v>
      </c>
      <c r="AW55" s="222">
        <f t="shared" si="92"/>
        <v>5.7099999999999998E-2</v>
      </c>
      <c r="AX55" s="222">
        <f t="shared" si="93"/>
        <v>9.64E-2</v>
      </c>
      <c r="AY55" s="219">
        <f t="shared" si="160"/>
        <v>0</v>
      </c>
      <c r="AZ55" s="219">
        <f t="shared" si="161"/>
        <v>0</v>
      </c>
      <c r="BA55" s="309"/>
      <c r="BB55" s="310"/>
      <c r="BC55" s="223" t="e">
        <f t="shared" si="157"/>
        <v>#DIV/0!</v>
      </c>
      <c r="BD55" s="224"/>
      <c r="BE55" s="225" t="e">
        <f t="shared" si="169"/>
        <v>#DIV/0!</v>
      </c>
      <c r="BF55" s="225" t="e">
        <f t="shared" si="170"/>
        <v>#DIV/0!</v>
      </c>
      <c r="BG55" s="225" t="e">
        <f t="shared" si="171"/>
        <v>#DIV/0!</v>
      </c>
      <c r="BH55" s="225" t="e">
        <f t="shared" si="172"/>
        <v>#DIV/0!</v>
      </c>
      <c r="BI55" s="225" t="e">
        <f t="shared" si="173"/>
        <v>#DIV/0!</v>
      </c>
      <c r="BJ55" s="226"/>
      <c r="BK55" s="307"/>
      <c r="BL55" s="307"/>
      <c r="BM55" s="307"/>
      <c r="BN55" s="307"/>
      <c r="BO55" s="307"/>
      <c r="BP55" s="307"/>
      <c r="BQ55" s="307"/>
      <c r="BR55" s="307"/>
      <c r="BS55" s="307"/>
      <c r="BT55" s="307"/>
      <c r="BU55" s="307"/>
      <c r="BV55" s="307"/>
      <c r="BW55" s="307"/>
      <c r="BX55" s="307"/>
      <c r="BY55" s="307"/>
      <c r="BZ55" s="307"/>
      <c r="CA55" s="307"/>
      <c r="CB55" s="307"/>
      <c r="CC55" s="307"/>
      <c r="CD55" s="307"/>
      <c r="CE55" s="307"/>
      <c r="CF55" s="307"/>
      <c r="CG55" s="307"/>
      <c r="CH55" s="307"/>
      <c r="CI55" s="307"/>
      <c r="CJ55" s="307"/>
      <c r="CK55" s="307"/>
      <c r="CL55" s="307"/>
      <c r="CM55" s="307"/>
      <c r="CN55" s="307"/>
      <c r="CO55" s="307"/>
      <c r="CP55" s="307"/>
      <c r="CQ55" s="307"/>
      <c r="CR55" s="307"/>
      <c r="CS55" s="307"/>
      <c r="CT55" s="307"/>
      <c r="CU55" s="307"/>
      <c r="CV55" s="307"/>
      <c r="CW55" s="307"/>
      <c r="CX55" s="307"/>
    </row>
    <row r="56" spans="1:102" s="229" customFormat="1" ht="22.5" hidden="1">
      <c r="A56" s="304">
        <f t="shared" si="102"/>
        <v>53</v>
      </c>
      <c r="B56" s="302"/>
      <c r="C56" s="371"/>
      <c r="D56" s="230"/>
      <c r="E56" s="231" t="s">
        <v>241</v>
      </c>
      <c r="F56" s="232"/>
      <c r="G56" s="305"/>
      <c r="H56" s="233" t="s">
        <v>106</v>
      </c>
      <c r="I56" s="306"/>
      <c r="J56" s="307"/>
      <c r="K56" s="307"/>
      <c r="L56" s="307"/>
      <c r="M56" s="307"/>
      <c r="N56" s="307"/>
      <c r="O56" s="216">
        <f t="shared" si="73"/>
        <v>0</v>
      </c>
      <c r="P56" s="307">
        <f t="shared" si="175"/>
        <v>0</v>
      </c>
      <c r="Q56" s="307"/>
      <c r="R56" s="307"/>
      <c r="S56" s="307"/>
      <c r="T56" s="216">
        <f t="shared" si="176"/>
        <v>0</v>
      </c>
      <c r="U56" s="217">
        <f t="shared" si="76"/>
        <v>0</v>
      </c>
      <c r="V56" s="217">
        <f t="shared" si="77"/>
        <v>0</v>
      </c>
      <c r="W56" s="307">
        <f t="shared" si="137"/>
        <v>0</v>
      </c>
      <c r="X56" s="215"/>
      <c r="Y56" s="215"/>
      <c r="Z56" s="307"/>
      <c r="AA56" s="217">
        <f t="shared" si="138"/>
        <v>0</v>
      </c>
      <c r="AB56" s="217">
        <f t="shared" si="139"/>
        <v>0</v>
      </c>
      <c r="AC56" s="217">
        <f t="shared" si="140"/>
        <v>0</v>
      </c>
      <c r="AD56" s="217">
        <f t="shared" si="141"/>
        <v>0</v>
      </c>
      <c r="AE56" s="217">
        <f t="shared" si="82"/>
        <v>0</v>
      </c>
      <c r="AF56" s="217">
        <f t="shared" si="152"/>
        <v>0</v>
      </c>
      <c r="AG56" s="217">
        <f t="shared" si="153"/>
        <v>0</v>
      </c>
      <c r="AH56" s="217">
        <f t="shared" si="154"/>
        <v>0</v>
      </c>
      <c r="AI56" s="217">
        <f t="shared" si="155"/>
        <v>0</v>
      </c>
      <c r="AJ56" s="217">
        <f t="shared" si="178"/>
        <v>0</v>
      </c>
      <c r="AK56" s="218">
        <f t="shared" si="164"/>
        <v>0</v>
      </c>
      <c r="AL56" s="218">
        <f t="shared" si="158"/>
        <v>0</v>
      </c>
      <c r="AM56" s="218">
        <f t="shared" si="165"/>
        <v>0</v>
      </c>
      <c r="AN56" s="218">
        <f t="shared" si="162"/>
        <v>0</v>
      </c>
      <c r="AO56" s="218">
        <f t="shared" si="163"/>
        <v>0</v>
      </c>
      <c r="AP56" s="219">
        <f t="shared" si="159"/>
        <v>0</v>
      </c>
      <c r="AQ56" s="308">
        <v>4</v>
      </c>
      <c r="AR56" s="308">
        <v>12</v>
      </c>
      <c r="AS56" s="220">
        <v>1</v>
      </c>
      <c r="AT56" s="220">
        <v>12</v>
      </c>
      <c r="AU56" s="221">
        <f>DATE($AW$1,ROUNDDOWN(($AQ56+$AR56)/2,0),1)</f>
        <v>43313</v>
      </c>
      <c r="AV56" s="221">
        <f>DATE($AX$1,ROUNDDOWN(($AS56+$AT56)/2,0),1)</f>
        <v>43617</v>
      </c>
      <c r="AW56" s="222">
        <f t="shared" si="92"/>
        <v>5.7099999999999998E-2</v>
      </c>
      <c r="AX56" s="222">
        <f t="shared" si="93"/>
        <v>9.64E-2</v>
      </c>
      <c r="AY56" s="219">
        <f t="shared" si="160"/>
        <v>0</v>
      </c>
      <c r="AZ56" s="219">
        <f t="shared" si="161"/>
        <v>0</v>
      </c>
      <c r="BA56" s="309"/>
      <c r="BB56" s="310"/>
      <c r="BC56" s="223" t="e">
        <f t="shared" si="157"/>
        <v>#DIV/0!</v>
      </c>
      <c r="BD56" s="224"/>
      <c r="BE56" s="225" t="e">
        <f t="shared" si="169"/>
        <v>#DIV/0!</v>
      </c>
      <c r="BF56" s="225" t="e">
        <f t="shared" si="170"/>
        <v>#DIV/0!</v>
      </c>
      <c r="BG56" s="225" t="e">
        <f t="shared" si="171"/>
        <v>#DIV/0!</v>
      </c>
      <c r="BH56" s="225" t="e">
        <f t="shared" si="172"/>
        <v>#DIV/0!</v>
      </c>
      <c r="BI56" s="225" t="e">
        <f t="shared" si="173"/>
        <v>#DIV/0!</v>
      </c>
      <c r="BJ56" s="226"/>
      <c r="BK56" s="307"/>
      <c r="BL56" s="307"/>
      <c r="BM56" s="307"/>
      <c r="BN56" s="307"/>
      <c r="BO56" s="307"/>
      <c r="BP56" s="307"/>
      <c r="BQ56" s="307"/>
      <c r="BR56" s="307"/>
      <c r="BS56" s="307"/>
      <c r="BT56" s="307"/>
      <c r="BU56" s="307"/>
      <c r="BV56" s="307"/>
      <c r="BW56" s="307"/>
      <c r="BX56" s="307"/>
      <c r="BY56" s="307"/>
      <c r="BZ56" s="307"/>
      <c r="CA56" s="307"/>
      <c r="CB56" s="307"/>
      <c r="CC56" s="307"/>
      <c r="CD56" s="307"/>
      <c r="CE56" s="307"/>
      <c r="CF56" s="307"/>
      <c r="CG56" s="307"/>
      <c r="CH56" s="307"/>
      <c r="CI56" s="307"/>
      <c r="CJ56" s="307"/>
      <c r="CK56" s="307"/>
      <c r="CL56" s="307"/>
      <c r="CM56" s="307"/>
      <c r="CN56" s="307"/>
      <c r="CO56" s="307"/>
      <c r="CP56" s="307"/>
      <c r="CQ56" s="307"/>
      <c r="CR56" s="307"/>
      <c r="CS56" s="307"/>
      <c r="CT56" s="307"/>
      <c r="CU56" s="307"/>
      <c r="CV56" s="307"/>
      <c r="CW56" s="307"/>
      <c r="CX56" s="307"/>
    </row>
    <row r="57" spans="1:102" s="229" customFormat="1" ht="22.5" hidden="1">
      <c r="A57" s="304">
        <f t="shared" si="102"/>
        <v>54</v>
      </c>
      <c r="B57" s="302"/>
      <c r="C57" s="371"/>
      <c r="D57" s="230"/>
      <c r="E57" s="231" t="s">
        <v>241</v>
      </c>
      <c r="F57" s="232"/>
      <c r="G57" s="305"/>
      <c r="H57" s="233" t="s">
        <v>106</v>
      </c>
      <c r="I57" s="306"/>
      <c r="J57" s="307"/>
      <c r="K57" s="307"/>
      <c r="L57" s="307"/>
      <c r="M57" s="307"/>
      <c r="N57" s="307"/>
      <c r="O57" s="216">
        <f t="shared" si="73"/>
        <v>0</v>
      </c>
      <c r="P57" s="307">
        <f t="shared" si="175"/>
        <v>0</v>
      </c>
      <c r="Q57" s="307"/>
      <c r="R57" s="307"/>
      <c r="S57" s="307"/>
      <c r="T57" s="216">
        <f t="shared" si="176"/>
        <v>0</v>
      </c>
      <c r="U57" s="217">
        <f t="shared" si="76"/>
        <v>0</v>
      </c>
      <c r="V57" s="217">
        <f t="shared" si="77"/>
        <v>0</v>
      </c>
      <c r="W57" s="307">
        <f t="shared" si="137"/>
        <v>0</v>
      </c>
      <c r="X57" s="215"/>
      <c r="Y57" s="215"/>
      <c r="Z57" s="307"/>
      <c r="AA57" s="217">
        <f t="shared" si="138"/>
        <v>0</v>
      </c>
      <c r="AB57" s="217">
        <f t="shared" si="139"/>
        <v>0</v>
      </c>
      <c r="AC57" s="217">
        <f t="shared" si="140"/>
        <v>0</v>
      </c>
      <c r="AD57" s="217">
        <f t="shared" si="141"/>
        <v>0</v>
      </c>
      <c r="AE57" s="217">
        <f t="shared" si="82"/>
        <v>0</v>
      </c>
      <c r="AF57" s="217">
        <f t="shared" si="152"/>
        <v>0</v>
      </c>
      <c r="AG57" s="217">
        <f t="shared" si="153"/>
        <v>0</v>
      </c>
      <c r="AH57" s="217">
        <f t="shared" si="154"/>
        <v>0</v>
      </c>
      <c r="AI57" s="217">
        <f t="shared" si="155"/>
        <v>0</v>
      </c>
      <c r="AJ57" s="217">
        <f t="shared" si="178"/>
        <v>0</v>
      </c>
      <c r="AK57" s="218">
        <f t="shared" si="164"/>
        <v>0</v>
      </c>
      <c r="AL57" s="218">
        <f t="shared" si="158"/>
        <v>0</v>
      </c>
      <c r="AM57" s="218">
        <f t="shared" si="165"/>
        <v>0</v>
      </c>
      <c r="AN57" s="218">
        <f t="shared" si="162"/>
        <v>0</v>
      </c>
      <c r="AO57" s="218">
        <f t="shared" si="163"/>
        <v>0</v>
      </c>
      <c r="AP57" s="219">
        <f t="shared" si="159"/>
        <v>0</v>
      </c>
      <c r="AQ57" s="308">
        <v>4</v>
      </c>
      <c r="AR57" s="308">
        <v>12</v>
      </c>
      <c r="AS57" s="220">
        <v>1</v>
      </c>
      <c r="AT57" s="220">
        <v>12</v>
      </c>
      <c r="AU57" s="221">
        <f t="shared" si="61"/>
        <v>43313</v>
      </c>
      <c r="AV57" s="221">
        <f t="shared" si="62"/>
        <v>43617</v>
      </c>
      <c r="AW57" s="222">
        <f t="shared" si="92"/>
        <v>5.7099999999999998E-2</v>
      </c>
      <c r="AX57" s="222">
        <f t="shared" si="93"/>
        <v>9.64E-2</v>
      </c>
      <c r="AY57" s="219">
        <f t="shared" si="160"/>
        <v>0</v>
      </c>
      <c r="AZ57" s="219">
        <f t="shared" si="161"/>
        <v>0</v>
      </c>
      <c r="BA57" s="309"/>
      <c r="BB57" s="310"/>
      <c r="BC57" s="223" t="e">
        <f t="shared" si="157"/>
        <v>#DIV/0!</v>
      </c>
      <c r="BD57" s="224"/>
      <c r="BE57" s="225" t="e">
        <f t="shared" si="169"/>
        <v>#DIV/0!</v>
      </c>
      <c r="BF57" s="225" t="e">
        <f t="shared" si="170"/>
        <v>#DIV/0!</v>
      </c>
      <c r="BG57" s="225" t="e">
        <f t="shared" si="171"/>
        <v>#DIV/0!</v>
      </c>
      <c r="BH57" s="225" t="e">
        <f t="shared" si="172"/>
        <v>#DIV/0!</v>
      </c>
      <c r="BI57" s="225" t="e">
        <f t="shared" si="173"/>
        <v>#DIV/0!</v>
      </c>
      <c r="BJ57" s="226"/>
      <c r="BK57" s="307"/>
      <c r="BL57" s="307"/>
      <c r="BM57" s="307"/>
      <c r="BN57" s="307"/>
      <c r="BO57" s="307"/>
      <c r="BP57" s="307"/>
      <c r="BQ57" s="307"/>
      <c r="BR57" s="307"/>
      <c r="BS57" s="307"/>
      <c r="BT57" s="307"/>
      <c r="BU57" s="307"/>
      <c r="BV57" s="307"/>
      <c r="BW57" s="307"/>
      <c r="BX57" s="307"/>
      <c r="BY57" s="307"/>
      <c r="BZ57" s="307"/>
      <c r="CA57" s="307"/>
      <c r="CB57" s="307"/>
      <c r="CC57" s="307"/>
      <c r="CD57" s="307"/>
      <c r="CE57" s="307"/>
      <c r="CF57" s="307"/>
      <c r="CG57" s="307"/>
      <c r="CH57" s="307"/>
      <c r="CI57" s="307"/>
      <c r="CJ57" s="307"/>
      <c r="CK57" s="307"/>
      <c r="CL57" s="307"/>
      <c r="CM57" s="307"/>
      <c r="CN57" s="307"/>
      <c r="CO57" s="307"/>
      <c r="CP57" s="307"/>
      <c r="CQ57" s="307"/>
      <c r="CR57" s="307"/>
      <c r="CS57" s="307"/>
      <c r="CT57" s="307"/>
      <c r="CU57" s="307"/>
      <c r="CV57" s="307"/>
      <c r="CW57" s="307"/>
      <c r="CX57" s="307"/>
    </row>
    <row r="58" spans="1:102" s="229" customFormat="1" ht="22.5" hidden="1">
      <c r="A58" s="304">
        <f t="shared" si="102"/>
        <v>55</v>
      </c>
      <c r="B58" s="302"/>
      <c r="C58" s="371"/>
      <c r="D58" s="230"/>
      <c r="E58" s="231" t="s">
        <v>241</v>
      </c>
      <c r="F58" s="232"/>
      <c r="G58" s="305"/>
      <c r="H58" s="233" t="s">
        <v>106</v>
      </c>
      <c r="I58" s="306"/>
      <c r="J58" s="307"/>
      <c r="K58" s="307"/>
      <c r="L58" s="307"/>
      <c r="M58" s="307"/>
      <c r="N58" s="307"/>
      <c r="O58" s="216">
        <f t="shared" si="73"/>
        <v>0</v>
      </c>
      <c r="P58" s="307">
        <f t="shared" si="175"/>
        <v>0</v>
      </c>
      <c r="Q58" s="307"/>
      <c r="R58" s="307"/>
      <c r="S58" s="307"/>
      <c r="T58" s="216">
        <f t="shared" si="176"/>
        <v>0</v>
      </c>
      <c r="U58" s="217">
        <f t="shared" si="76"/>
        <v>0</v>
      </c>
      <c r="V58" s="217">
        <f t="shared" si="77"/>
        <v>0</v>
      </c>
      <c r="W58" s="307">
        <f t="shared" si="137"/>
        <v>0</v>
      </c>
      <c r="X58" s="215"/>
      <c r="Y58" s="215"/>
      <c r="Z58" s="307"/>
      <c r="AA58" s="217">
        <f t="shared" si="138"/>
        <v>0</v>
      </c>
      <c r="AB58" s="217">
        <f t="shared" si="139"/>
        <v>0</v>
      </c>
      <c r="AC58" s="217">
        <f t="shared" si="140"/>
        <v>0</v>
      </c>
      <c r="AD58" s="217">
        <f t="shared" si="141"/>
        <v>0</v>
      </c>
      <c r="AE58" s="217">
        <f t="shared" si="82"/>
        <v>0</v>
      </c>
      <c r="AF58" s="217">
        <f t="shared" si="152"/>
        <v>0</v>
      </c>
      <c r="AG58" s="217">
        <f t="shared" si="153"/>
        <v>0</v>
      </c>
      <c r="AH58" s="217">
        <f t="shared" si="154"/>
        <v>0</v>
      </c>
      <c r="AI58" s="217">
        <f t="shared" si="155"/>
        <v>0</v>
      </c>
      <c r="AJ58" s="217">
        <f t="shared" si="178"/>
        <v>0</v>
      </c>
      <c r="AK58" s="218">
        <f t="shared" si="164"/>
        <v>0</v>
      </c>
      <c r="AL58" s="218">
        <f t="shared" si="158"/>
        <v>0</v>
      </c>
      <c r="AM58" s="218">
        <f t="shared" si="165"/>
        <v>0</v>
      </c>
      <c r="AN58" s="218">
        <f t="shared" si="162"/>
        <v>0</v>
      </c>
      <c r="AO58" s="218">
        <f t="shared" si="163"/>
        <v>0</v>
      </c>
      <c r="AP58" s="219">
        <f t="shared" si="159"/>
        <v>0</v>
      </c>
      <c r="AQ58" s="308">
        <v>4</v>
      </c>
      <c r="AR58" s="308">
        <v>12</v>
      </c>
      <c r="AS58" s="220">
        <v>1</v>
      </c>
      <c r="AT58" s="220">
        <v>12</v>
      </c>
      <c r="AU58" s="221">
        <f t="shared" si="61"/>
        <v>43313</v>
      </c>
      <c r="AV58" s="221">
        <f t="shared" si="62"/>
        <v>43617</v>
      </c>
      <c r="AW58" s="222">
        <f t="shared" si="92"/>
        <v>5.7099999999999998E-2</v>
      </c>
      <c r="AX58" s="222">
        <f t="shared" si="93"/>
        <v>9.64E-2</v>
      </c>
      <c r="AY58" s="219">
        <f t="shared" si="160"/>
        <v>0</v>
      </c>
      <c r="AZ58" s="219">
        <f t="shared" si="161"/>
        <v>0</v>
      </c>
      <c r="BA58" s="309"/>
      <c r="BB58" s="310"/>
      <c r="BC58" s="223" t="e">
        <f t="shared" si="157"/>
        <v>#DIV/0!</v>
      </c>
      <c r="BD58" s="224"/>
      <c r="BE58" s="225" t="e">
        <f t="shared" si="169"/>
        <v>#DIV/0!</v>
      </c>
      <c r="BF58" s="225" t="e">
        <f t="shared" si="170"/>
        <v>#DIV/0!</v>
      </c>
      <c r="BG58" s="225" t="e">
        <f t="shared" si="171"/>
        <v>#DIV/0!</v>
      </c>
      <c r="BH58" s="225" t="e">
        <f t="shared" si="172"/>
        <v>#DIV/0!</v>
      </c>
      <c r="BI58" s="225" t="e">
        <f t="shared" si="173"/>
        <v>#DIV/0!</v>
      </c>
      <c r="BJ58" s="226"/>
      <c r="BK58" s="307"/>
      <c r="BL58" s="307"/>
      <c r="BM58" s="307"/>
      <c r="BN58" s="307"/>
      <c r="BO58" s="307"/>
      <c r="BP58" s="307"/>
      <c r="BQ58" s="307"/>
      <c r="BR58" s="307"/>
      <c r="BS58" s="307"/>
      <c r="BT58" s="307"/>
      <c r="BU58" s="307"/>
      <c r="BV58" s="307"/>
      <c r="BW58" s="307"/>
      <c r="BX58" s="307"/>
      <c r="BY58" s="307"/>
      <c r="BZ58" s="307"/>
      <c r="CA58" s="307"/>
      <c r="CB58" s="307"/>
      <c r="CC58" s="307"/>
      <c r="CD58" s="307"/>
      <c r="CE58" s="307"/>
      <c r="CF58" s="307"/>
      <c r="CG58" s="307"/>
      <c r="CH58" s="307"/>
      <c r="CI58" s="307"/>
      <c r="CJ58" s="307"/>
      <c r="CK58" s="307"/>
      <c r="CL58" s="307"/>
      <c r="CM58" s="307"/>
      <c r="CN58" s="307"/>
      <c r="CO58" s="307"/>
      <c r="CP58" s="307"/>
      <c r="CQ58" s="307"/>
      <c r="CR58" s="307"/>
      <c r="CS58" s="307"/>
      <c r="CT58" s="307"/>
      <c r="CU58" s="307"/>
      <c r="CV58" s="307"/>
      <c r="CW58" s="307"/>
      <c r="CX58" s="307"/>
    </row>
    <row r="59" spans="1:102" s="229" customFormat="1" ht="22.5" hidden="1">
      <c r="A59" s="304">
        <f t="shared" si="102"/>
        <v>56</v>
      </c>
      <c r="B59" s="302"/>
      <c r="C59" s="371"/>
      <c r="D59" s="230"/>
      <c r="E59" s="231" t="s">
        <v>241</v>
      </c>
      <c r="F59" s="232"/>
      <c r="G59" s="305"/>
      <c r="H59" s="233" t="s">
        <v>106</v>
      </c>
      <c r="I59" s="306"/>
      <c r="J59" s="307"/>
      <c r="K59" s="307"/>
      <c r="L59" s="307"/>
      <c r="M59" s="307"/>
      <c r="N59" s="307"/>
      <c r="O59" s="216">
        <f t="shared" si="73"/>
        <v>0</v>
      </c>
      <c r="P59" s="307">
        <f t="shared" si="175"/>
        <v>0</v>
      </c>
      <c r="Q59" s="307"/>
      <c r="R59" s="307"/>
      <c r="S59" s="307"/>
      <c r="T59" s="216">
        <f t="shared" si="176"/>
        <v>0</v>
      </c>
      <c r="U59" s="217">
        <f t="shared" si="76"/>
        <v>0</v>
      </c>
      <c r="V59" s="217">
        <f t="shared" si="77"/>
        <v>0</v>
      </c>
      <c r="W59" s="307">
        <f t="shared" si="137"/>
        <v>0</v>
      </c>
      <c r="X59" s="215"/>
      <c r="Y59" s="215"/>
      <c r="Z59" s="307"/>
      <c r="AA59" s="217">
        <f t="shared" si="138"/>
        <v>0</v>
      </c>
      <c r="AB59" s="217">
        <f t="shared" si="139"/>
        <v>0</v>
      </c>
      <c r="AC59" s="217">
        <f t="shared" si="140"/>
        <v>0</v>
      </c>
      <c r="AD59" s="217">
        <f t="shared" si="141"/>
        <v>0</v>
      </c>
      <c r="AE59" s="217">
        <f t="shared" si="82"/>
        <v>0</v>
      </c>
      <c r="AF59" s="217">
        <f t="shared" si="152"/>
        <v>0</v>
      </c>
      <c r="AG59" s="217">
        <f t="shared" si="153"/>
        <v>0</v>
      </c>
      <c r="AH59" s="217">
        <f t="shared" si="154"/>
        <v>0</v>
      </c>
      <c r="AI59" s="217">
        <f t="shared" si="155"/>
        <v>0</v>
      </c>
      <c r="AJ59" s="217">
        <f t="shared" si="178"/>
        <v>0</v>
      </c>
      <c r="AK59" s="218">
        <f t="shared" si="164"/>
        <v>0</v>
      </c>
      <c r="AL59" s="218">
        <f t="shared" si="158"/>
        <v>0</v>
      </c>
      <c r="AM59" s="218">
        <f t="shared" si="165"/>
        <v>0</v>
      </c>
      <c r="AN59" s="218">
        <f t="shared" si="162"/>
        <v>0</v>
      </c>
      <c r="AO59" s="218">
        <f t="shared" si="163"/>
        <v>0</v>
      </c>
      <c r="AP59" s="219">
        <f t="shared" si="159"/>
        <v>0</v>
      </c>
      <c r="AQ59" s="308">
        <v>4</v>
      </c>
      <c r="AR59" s="308">
        <v>12</v>
      </c>
      <c r="AS59" s="220">
        <v>1</v>
      </c>
      <c r="AT59" s="220">
        <v>12</v>
      </c>
      <c r="AU59" s="221">
        <f t="shared" si="61"/>
        <v>43313</v>
      </c>
      <c r="AV59" s="221">
        <f t="shared" si="62"/>
        <v>43617</v>
      </c>
      <c r="AW59" s="222">
        <f t="shared" si="92"/>
        <v>5.7099999999999998E-2</v>
      </c>
      <c r="AX59" s="222">
        <f t="shared" si="93"/>
        <v>9.64E-2</v>
      </c>
      <c r="AY59" s="219">
        <f t="shared" si="160"/>
        <v>0</v>
      </c>
      <c r="AZ59" s="219">
        <f t="shared" si="161"/>
        <v>0</v>
      </c>
      <c r="BA59" s="309"/>
      <c r="BB59" s="310"/>
      <c r="BC59" s="223" t="e">
        <f t="shared" si="157"/>
        <v>#DIV/0!</v>
      </c>
      <c r="BD59" s="224"/>
      <c r="BE59" s="225" t="e">
        <f t="shared" si="169"/>
        <v>#DIV/0!</v>
      </c>
      <c r="BF59" s="225" t="e">
        <f t="shared" si="170"/>
        <v>#DIV/0!</v>
      </c>
      <c r="BG59" s="225" t="e">
        <f t="shared" si="171"/>
        <v>#DIV/0!</v>
      </c>
      <c r="BH59" s="225" t="e">
        <f t="shared" si="172"/>
        <v>#DIV/0!</v>
      </c>
      <c r="BI59" s="225" t="e">
        <f t="shared" si="173"/>
        <v>#DIV/0!</v>
      </c>
      <c r="BJ59" s="226"/>
      <c r="BK59" s="307"/>
      <c r="BL59" s="307"/>
      <c r="BM59" s="307"/>
      <c r="BN59" s="307"/>
      <c r="BO59" s="307"/>
      <c r="BP59" s="307"/>
      <c r="BQ59" s="307"/>
      <c r="BR59" s="307"/>
      <c r="BS59" s="307"/>
      <c r="BT59" s="307"/>
      <c r="BU59" s="307"/>
      <c r="BV59" s="307"/>
      <c r="BW59" s="307"/>
      <c r="BX59" s="307"/>
      <c r="BY59" s="307"/>
      <c r="BZ59" s="307"/>
      <c r="CA59" s="307"/>
      <c r="CB59" s="307"/>
      <c r="CC59" s="307"/>
      <c r="CD59" s="307"/>
      <c r="CE59" s="307"/>
      <c r="CF59" s="307"/>
      <c r="CG59" s="307"/>
      <c r="CH59" s="307"/>
      <c r="CI59" s="307"/>
      <c r="CJ59" s="307"/>
      <c r="CK59" s="307"/>
      <c r="CL59" s="307"/>
      <c r="CM59" s="307"/>
      <c r="CN59" s="307"/>
      <c r="CO59" s="307"/>
      <c r="CP59" s="307"/>
      <c r="CQ59" s="307"/>
      <c r="CR59" s="307"/>
      <c r="CS59" s="307"/>
      <c r="CT59" s="307"/>
      <c r="CU59" s="307"/>
      <c r="CV59" s="307"/>
      <c r="CW59" s="307"/>
      <c r="CX59" s="307"/>
    </row>
    <row r="60" spans="1:102" s="229" customFormat="1" ht="22.5" hidden="1">
      <c r="A60" s="304">
        <f t="shared" si="102"/>
        <v>57</v>
      </c>
      <c r="B60" s="302"/>
      <c r="C60" s="371"/>
      <c r="D60" s="230"/>
      <c r="E60" s="231" t="s">
        <v>241</v>
      </c>
      <c r="F60" s="232"/>
      <c r="G60" s="305"/>
      <c r="H60" s="233" t="s">
        <v>106</v>
      </c>
      <c r="I60" s="306"/>
      <c r="J60" s="307"/>
      <c r="K60" s="307"/>
      <c r="L60" s="307"/>
      <c r="M60" s="307"/>
      <c r="N60" s="307"/>
      <c r="O60" s="216">
        <f t="shared" si="73"/>
        <v>0</v>
      </c>
      <c r="P60" s="307">
        <f t="shared" si="175"/>
        <v>0</v>
      </c>
      <c r="Q60" s="307"/>
      <c r="R60" s="307"/>
      <c r="S60" s="307"/>
      <c r="T60" s="216">
        <f t="shared" si="176"/>
        <v>0</v>
      </c>
      <c r="U60" s="217">
        <f t="shared" si="76"/>
        <v>0</v>
      </c>
      <c r="V60" s="217">
        <f t="shared" si="77"/>
        <v>0</v>
      </c>
      <c r="W60" s="307">
        <f t="shared" si="137"/>
        <v>0</v>
      </c>
      <c r="X60" s="215"/>
      <c r="Y60" s="215"/>
      <c r="Z60" s="307"/>
      <c r="AA60" s="217">
        <f t="shared" si="138"/>
        <v>0</v>
      </c>
      <c r="AB60" s="217">
        <f t="shared" si="139"/>
        <v>0</v>
      </c>
      <c r="AC60" s="217">
        <f t="shared" si="140"/>
        <v>0</v>
      </c>
      <c r="AD60" s="217">
        <f t="shared" si="141"/>
        <v>0</v>
      </c>
      <c r="AE60" s="217">
        <f t="shared" si="82"/>
        <v>0</v>
      </c>
      <c r="AF60" s="217">
        <f t="shared" si="152"/>
        <v>0</v>
      </c>
      <c r="AG60" s="217">
        <f t="shared" si="153"/>
        <v>0</v>
      </c>
      <c r="AH60" s="217">
        <f t="shared" si="154"/>
        <v>0</v>
      </c>
      <c r="AI60" s="217">
        <f t="shared" si="155"/>
        <v>0</v>
      </c>
      <c r="AJ60" s="217">
        <f t="shared" si="178"/>
        <v>0</v>
      </c>
      <c r="AK60" s="218">
        <f t="shared" si="164"/>
        <v>0</v>
      </c>
      <c r="AL60" s="218">
        <f t="shared" si="158"/>
        <v>0</v>
      </c>
      <c r="AM60" s="218">
        <f t="shared" si="165"/>
        <v>0</v>
      </c>
      <c r="AN60" s="218">
        <f t="shared" si="162"/>
        <v>0</v>
      </c>
      <c r="AO60" s="218">
        <f t="shared" si="163"/>
        <v>0</v>
      </c>
      <c r="AP60" s="219">
        <f t="shared" si="159"/>
        <v>0</v>
      </c>
      <c r="AQ60" s="308">
        <v>4</v>
      </c>
      <c r="AR60" s="308">
        <v>12</v>
      </c>
      <c r="AS60" s="220">
        <v>1</v>
      </c>
      <c r="AT60" s="220">
        <v>12</v>
      </c>
      <c r="AU60" s="221">
        <f t="shared" si="61"/>
        <v>43313</v>
      </c>
      <c r="AV60" s="221">
        <f t="shared" si="62"/>
        <v>43617</v>
      </c>
      <c r="AW60" s="222">
        <f t="shared" si="92"/>
        <v>5.7099999999999998E-2</v>
      </c>
      <c r="AX60" s="222">
        <f t="shared" si="93"/>
        <v>9.64E-2</v>
      </c>
      <c r="AY60" s="219">
        <f t="shared" si="160"/>
        <v>0</v>
      </c>
      <c r="AZ60" s="219">
        <f t="shared" si="161"/>
        <v>0</v>
      </c>
      <c r="BA60" s="309"/>
      <c r="BB60" s="310"/>
      <c r="BC60" s="223" t="e">
        <f t="shared" si="157"/>
        <v>#DIV/0!</v>
      </c>
      <c r="BD60" s="224"/>
      <c r="BE60" s="225" t="e">
        <f t="shared" si="169"/>
        <v>#DIV/0!</v>
      </c>
      <c r="BF60" s="225" t="e">
        <f t="shared" si="170"/>
        <v>#DIV/0!</v>
      </c>
      <c r="BG60" s="225" t="e">
        <f t="shared" si="171"/>
        <v>#DIV/0!</v>
      </c>
      <c r="BH60" s="225" t="e">
        <f t="shared" si="172"/>
        <v>#DIV/0!</v>
      </c>
      <c r="BI60" s="225" t="e">
        <f t="shared" si="173"/>
        <v>#DIV/0!</v>
      </c>
      <c r="BJ60" s="226"/>
      <c r="BK60" s="307"/>
      <c r="BL60" s="307"/>
      <c r="BM60" s="307"/>
      <c r="BN60" s="307"/>
      <c r="BO60" s="307"/>
      <c r="BP60" s="307"/>
      <c r="BQ60" s="307"/>
      <c r="BR60" s="307"/>
      <c r="BS60" s="307"/>
      <c r="BT60" s="307"/>
      <c r="BU60" s="307"/>
      <c r="BV60" s="307"/>
      <c r="BW60" s="307"/>
      <c r="BX60" s="307"/>
      <c r="BY60" s="307"/>
      <c r="BZ60" s="307"/>
      <c r="CA60" s="307"/>
      <c r="CB60" s="307"/>
      <c r="CC60" s="307"/>
      <c r="CD60" s="307"/>
      <c r="CE60" s="307"/>
      <c r="CF60" s="307"/>
      <c r="CG60" s="307"/>
      <c r="CH60" s="307"/>
      <c r="CI60" s="307"/>
      <c r="CJ60" s="307"/>
      <c r="CK60" s="307"/>
      <c r="CL60" s="307"/>
      <c r="CM60" s="307"/>
      <c r="CN60" s="307"/>
      <c r="CO60" s="307"/>
      <c r="CP60" s="307"/>
      <c r="CQ60" s="307"/>
      <c r="CR60" s="307"/>
      <c r="CS60" s="307"/>
      <c r="CT60" s="307"/>
      <c r="CU60" s="307"/>
      <c r="CV60" s="307"/>
      <c r="CW60" s="307"/>
      <c r="CX60" s="307"/>
    </row>
    <row r="61" spans="1:102" s="229" customFormat="1" ht="22.5" hidden="1">
      <c r="A61" s="304">
        <f t="shared" si="102"/>
        <v>58</v>
      </c>
      <c r="B61" s="302"/>
      <c r="C61" s="371"/>
      <c r="D61" s="230"/>
      <c r="E61" s="231" t="s">
        <v>241</v>
      </c>
      <c r="F61" s="232"/>
      <c r="G61" s="305"/>
      <c r="H61" s="233" t="s">
        <v>106</v>
      </c>
      <c r="I61" s="306"/>
      <c r="J61" s="307"/>
      <c r="K61" s="307"/>
      <c r="L61" s="307"/>
      <c r="M61" s="307"/>
      <c r="N61" s="307"/>
      <c r="O61" s="216">
        <f t="shared" si="73"/>
        <v>0</v>
      </c>
      <c r="P61" s="307">
        <f t="shared" si="175"/>
        <v>0</v>
      </c>
      <c r="Q61" s="307"/>
      <c r="R61" s="307"/>
      <c r="S61" s="307"/>
      <c r="T61" s="216">
        <f t="shared" si="176"/>
        <v>0</v>
      </c>
      <c r="U61" s="217">
        <f t="shared" si="76"/>
        <v>0</v>
      </c>
      <c r="V61" s="217">
        <f t="shared" si="77"/>
        <v>0</v>
      </c>
      <c r="W61" s="307">
        <f t="shared" si="137"/>
        <v>0</v>
      </c>
      <c r="X61" s="215"/>
      <c r="Y61" s="215"/>
      <c r="Z61" s="307"/>
      <c r="AA61" s="217">
        <f t="shared" si="138"/>
        <v>0</v>
      </c>
      <c r="AB61" s="217">
        <f t="shared" si="139"/>
        <v>0</v>
      </c>
      <c r="AC61" s="217">
        <f t="shared" si="140"/>
        <v>0</v>
      </c>
      <c r="AD61" s="217">
        <f t="shared" si="141"/>
        <v>0</v>
      </c>
      <c r="AE61" s="217">
        <f t="shared" si="82"/>
        <v>0</v>
      </c>
      <c r="AF61" s="217">
        <f t="shared" si="152"/>
        <v>0</v>
      </c>
      <c r="AG61" s="217">
        <f t="shared" si="153"/>
        <v>0</v>
      </c>
      <c r="AH61" s="217">
        <f t="shared" si="154"/>
        <v>0</v>
      </c>
      <c r="AI61" s="217">
        <f t="shared" si="155"/>
        <v>0</v>
      </c>
      <c r="AJ61" s="217">
        <f t="shared" si="178"/>
        <v>0</v>
      </c>
      <c r="AK61" s="218">
        <f t="shared" si="164"/>
        <v>0</v>
      </c>
      <c r="AL61" s="218">
        <f t="shared" si="158"/>
        <v>0</v>
      </c>
      <c r="AM61" s="218">
        <f t="shared" si="165"/>
        <v>0</v>
      </c>
      <c r="AN61" s="218">
        <f t="shared" si="162"/>
        <v>0</v>
      </c>
      <c r="AO61" s="218">
        <f t="shared" si="163"/>
        <v>0</v>
      </c>
      <c r="AP61" s="219">
        <f t="shared" si="159"/>
        <v>0</v>
      </c>
      <c r="AQ61" s="308">
        <v>4</v>
      </c>
      <c r="AR61" s="308">
        <v>12</v>
      </c>
      <c r="AS61" s="220">
        <v>1</v>
      </c>
      <c r="AT61" s="220">
        <v>12</v>
      </c>
      <c r="AU61" s="221">
        <f t="shared" si="61"/>
        <v>43313</v>
      </c>
      <c r="AV61" s="221">
        <f t="shared" si="62"/>
        <v>43617</v>
      </c>
      <c r="AW61" s="222">
        <f t="shared" si="92"/>
        <v>5.7099999999999998E-2</v>
      </c>
      <c r="AX61" s="222">
        <f t="shared" si="93"/>
        <v>9.64E-2</v>
      </c>
      <c r="AY61" s="219">
        <f t="shared" si="160"/>
        <v>0</v>
      </c>
      <c r="AZ61" s="219">
        <f t="shared" si="161"/>
        <v>0</v>
      </c>
      <c r="BA61" s="309"/>
      <c r="BB61" s="310"/>
      <c r="BC61" s="223" t="e">
        <f t="shared" si="157"/>
        <v>#DIV/0!</v>
      </c>
      <c r="BD61" s="224"/>
      <c r="BE61" s="225" t="e">
        <f t="shared" si="169"/>
        <v>#DIV/0!</v>
      </c>
      <c r="BF61" s="225" t="e">
        <f t="shared" si="170"/>
        <v>#DIV/0!</v>
      </c>
      <c r="BG61" s="225" t="e">
        <f t="shared" si="171"/>
        <v>#DIV/0!</v>
      </c>
      <c r="BH61" s="225" t="e">
        <f t="shared" si="172"/>
        <v>#DIV/0!</v>
      </c>
      <c r="BI61" s="225" t="e">
        <f t="shared" si="173"/>
        <v>#DIV/0!</v>
      </c>
      <c r="BJ61" s="226"/>
      <c r="BK61" s="307"/>
      <c r="BL61" s="307"/>
      <c r="BM61" s="307"/>
      <c r="BN61" s="307"/>
      <c r="BO61" s="307"/>
      <c r="BP61" s="307"/>
      <c r="BQ61" s="307"/>
      <c r="BR61" s="307"/>
      <c r="BS61" s="307"/>
      <c r="BT61" s="307"/>
      <c r="BU61" s="307"/>
      <c r="BV61" s="307"/>
      <c r="BW61" s="307"/>
      <c r="BX61" s="307"/>
      <c r="BY61" s="307"/>
      <c r="BZ61" s="307"/>
      <c r="CA61" s="307"/>
      <c r="CB61" s="307"/>
      <c r="CC61" s="307"/>
      <c r="CD61" s="307"/>
      <c r="CE61" s="307"/>
      <c r="CF61" s="307"/>
      <c r="CG61" s="307"/>
      <c r="CH61" s="307"/>
      <c r="CI61" s="307"/>
      <c r="CJ61" s="307"/>
      <c r="CK61" s="307"/>
      <c r="CL61" s="307"/>
      <c r="CM61" s="307"/>
      <c r="CN61" s="307"/>
      <c r="CO61" s="307"/>
      <c r="CP61" s="307"/>
      <c r="CQ61" s="307"/>
      <c r="CR61" s="307"/>
      <c r="CS61" s="307"/>
      <c r="CT61" s="307"/>
      <c r="CU61" s="307"/>
      <c r="CV61" s="307"/>
      <c r="CW61" s="307"/>
      <c r="CX61" s="307"/>
    </row>
    <row r="62" spans="1:102" s="229" customFormat="1" ht="22.5" hidden="1">
      <c r="A62" s="304">
        <f t="shared" si="102"/>
        <v>59</v>
      </c>
      <c r="B62" s="302"/>
      <c r="C62" s="371"/>
      <c r="D62" s="230"/>
      <c r="E62" s="231" t="s">
        <v>241</v>
      </c>
      <c r="F62" s="232"/>
      <c r="G62" s="305"/>
      <c r="H62" s="233" t="s">
        <v>106</v>
      </c>
      <c r="I62" s="306"/>
      <c r="J62" s="307"/>
      <c r="K62" s="307"/>
      <c r="L62" s="307"/>
      <c r="M62" s="307"/>
      <c r="N62" s="307"/>
      <c r="O62" s="216">
        <f t="shared" si="73"/>
        <v>0</v>
      </c>
      <c r="P62" s="307">
        <f t="shared" si="175"/>
        <v>0</v>
      </c>
      <c r="Q62" s="307"/>
      <c r="R62" s="307"/>
      <c r="S62" s="307"/>
      <c r="T62" s="216">
        <f t="shared" si="176"/>
        <v>0</v>
      </c>
      <c r="U62" s="217">
        <f t="shared" si="76"/>
        <v>0</v>
      </c>
      <c r="V62" s="217">
        <f t="shared" si="77"/>
        <v>0</v>
      </c>
      <c r="W62" s="307">
        <f t="shared" si="137"/>
        <v>0</v>
      </c>
      <c r="X62" s="215"/>
      <c r="Y62" s="215"/>
      <c r="Z62" s="307"/>
      <c r="AA62" s="217">
        <f t="shared" si="138"/>
        <v>0</v>
      </c>
      <c r="AB62" s="217">
        <f t="shared" si="139"/>
        <v>0</v>
      </c>
      <c r="AC62" s="217">
        <f t="shared" si="140"/>
        <v>0</v>
      </c>
      <c r="AD62" s="217">
        <f t="shared" si="141"/>
        <v>0</v>
      </c>
      <c r="AE62" s="217">
        <f t="shared" si="82"/>
        <v>0</v>
      </c>
      <c r="AF62" s="217">
        <f t="shared" si="152"/>
        <v>0</v>
      </c>
      <c r="AG62" s="217">
        <f t="shared" si="153"/>
        <v>0</v>
      </c>
      <c r="AH62" s="217">
        <f t="shared" si="154"/>
        <v>0</v>
      </c>
      <c r="AI62" s="217">
        <f t="shared" si="155"/>
        <v>0</v>
      </c>
      <c r="AJ62" s="217">
        <f t="shared" ref="AJ62:AJ71" si="179">SUM(AF62:AI62)</f>
        <v>0</v>
      </c>
      <c r="AK62" s="218">
        <f t="shared" si="164"/>
        <v>0</v>
      </c>
      <c r="AL62" s="218">
        <f t="shared" si="158"/>
        <v>0</v>
      </c>
      <c r="AM62" s="218">
        <f t="shared" si="165"/>
        <v>0</v>
      </c>
      <c r="AN62" s="218">
        <f t="shared" si="162"/>
        <v>0</v>
      </c>
      <c r="AO62" s="218">
        <f t="shared" si="163"/>
        <v>0</v>
      </c>
      <c r="AP62" s="219">
        <f t="shared" si="159"/>
        <v>0</v>
      </c>
      <c r="AQ62" s="308">
        <v>4</v>
      </c>
      <c r="AR62" s="308">
        <v>12</v>
      </c>
      <c r="AS62" s="220">
        <v>1</v>
      </c>
      <c r="AT62" s="220">
        <v>12</v>
      </c>
      <c r="AU62" s="221">
        <f t="shared" si="61"/>
        <v>43313</v>
      </c>
      <c r="AV62" s="221">
        <f t="shared" si="62"/>
        <v>43617</v>
      </c>
      <c r="AW62" s="222">
        <f t="shared" si="92"/>
        <v>5.7099999999999998E-2</v>
      </c>
      <c r="AX62" s="222">
        <f t="shared" si="93"/>
        <v>9.64E-2</v>
      </c>
      <c r="AY62" s="219">
        <f t="shared" si="160"/>
        <v>0</v>
      </c>
      <c r="AZ62" s="219">
        <f t="shared" si="161"/>
        <v>0</v>
      </c>
      <c r="BA62" s="309"/>
      <c r="BB62" s="310"/>
      <c r="BC62" s="223" t="e">
        <f t="shared" si="157"/>
        <v>#DIV/0!</v>
      </c>
      <c r="BD62" s="224"/>
      <c r="BE62" s="225" t="e">
        <f t="shared" si="169"/>
        <v>#DIV/0!</v>
      </c>
      <c r="BF62" s="225" t="e">
        <f t="shared" si="170"/>
        <v>#DIV/0!</v>
      </c>
      <c r="BG62" s="225" t="e">
        <f t="shared" si="171"/>
        <v>#DIV/0!</v>
      </c>
      <c r="BH62" s="225" t="e">
        <f t="shared" si="172"/>
        <v>#DIV/0!</v>
      </c>
      <c r="BI62" s="225" t="e">
        <f t="shared" si="173"/>
        <v>#DIV/0!</v>
      </c>
      <c r="BJ62" s="226"/>
      <c r="BK62" s="307"/>
      <c r="BL62" s="307"/>
      <c r="BM62" s="307"/>
      <c r="BN62" s="307"/>
      <c r="BO62" s="307"/>
      <c r="BP62" s="307"/>
      <c r="BQ62" s="307"/>
      <c r="BR62" s="307"/>
      <c r="BS62" s="307"/>
      <c r="BT62" s="307"/>
      <c r="BU62" s="307"/>
      <c r="BV62" s="307"/>
      <c r="BW62" s="307"/>
      <c r="BX62" s="307"/>
      <c r="BY62" s="307"/>
      <c r="BZ62" s="307"/>
      <c r="CA62" s="307"/>
      <c r="CB62" s="307"/>
      <c r="CC62" s="307"/>
      <c r="CD62" s="307"/>
      <c r="CE62" s="307"/>
      <c r="CF62" s="307"/>
      <c r="CG62" s="307"/>
      <c r="CH62" s="307"/>
      <c r="CI62" s="307"/>
      <c r="CJ62" s="307"/>
      <c r="CK62" s="307"/>
      <c r="CL62" s="307"/>
      <c r="CM62" s="307"/>
      <c r="CN62" s="307"/>
      <c r="CO62" s="307"/>
      <c r="CP62" s="307"/>
      <c r="CQ62" s="307"/>
      <c r="CR62" s="307"/>
      <c r="CS62" s="307"/>
      <c r="CT62" s="307"/>
      <c r="CU62" s="307"/>
      <c r="CV62" s="307"/>
      <c r="CW62" s="307"/>
      <c r="CX62" s="307"/>
    </row>
    <row r="63" spans="1:102" s="229" customFormat="1" ht="22.5" hidden="1">
      <c r="A63" s="304">
        <f t="shared" si="102"/>
        <v>60</v>
      </c>
      <c r="B63" s="302"/>
      <c r="C63" s="371"/>
      <c r="D63" s="230"/>
      <c r="E63" s="231" t="s">
        <v>241</v>
      </c>
      <c r="F63" s="232"/>
      <c r="G63" s="305"/>
      <c r="H63" s="233" t="s">
        <v>106</v>
      </c>
      <c r="I63" s="306"/>
      <c r="J63" s="307"/>
      <c r="K63" s="307"/>
      <c r="L63" s="307"/>
      <c r="M63" s="307"/>
      <c r="N63" s="307"/>
      <c r="O63" s="216">
        <f t="shared" si="73"/>
        <v>0</v>
      </c>
      <c r="P63" s="307">
        <f t="shared" si="175"/>
        <v>0</v>
      </c>
      <c r="Q63" s="307"/>
      <c r="R63" s="307"/>
      <c r="S63" s="307"/>
      <c r="T63" s="216">
        <f t="shared" si="176"/>
        <v>0</v>
      </c>
      <c r="U63" s="217">
        <f t="shared" si="76"/>
        <v>0</v>
      </c>
      <c r="V63" s="217">
        <f t="shared" si="77"/>
        <v>0</v>
      </c>
      <c r="W63" s="307">
        <f t="shared" si="137"/>
        <v>0</v>
      </c>
      <c r="X63" s="215"/>
      <c r="Y63" s="215"/>
      <c r="Z63" s="307"/>
      <c r="AA63" s="217">
        <f t="shared" si="138"/>
        <v>0</v>
      </c>
      <c r="AB63" s="217">
        <f t="shared" si="139"/>
        <v>0</v>
      </c>
      <c r="AC63" s="217">
        <f t="shared" si="140"/>
        <v>0</v>
      </c>
      <c r="AD63" s="217">
        <f t="shared" si="141"/>
        <v>0</v>
      </c>
      <c r="AE63" s="217">
        <f t="shared" si="82"/>
        <v>0</v>
      </c>
      <c r="AF63" s="217">
        <f t="shared" si="152"/>
        <v>0</v>
      </c>
      <c r="AG63" s="217">
        <f t="shared" si="153"/>
        <v>0</v>
      </c>
      <c r="AH63" s="217">
        <f t="shared" si="154"/>
        <v>0</v>
      </c>
      <c r="AI63" s="217">
        <f t="shared" si="155"/>
        <v>0</v>
      </c>
      <c r="AJ63" s="217">
        <f t="shared" si="179"/>
        <v>0</v>
      </c>
      <c r="AK63" s="218">
        <f t="shared" si="164"/>
        <v>0</v>
      </c>
      <c r="AL63" s="218">
        <f t="shared" si="158"/>
        <v>0</v>
      </c>
      <c r="AM63" s="218">
        <f t="shared" si="165"/>
        <v>0</v>
      </c>
      <c r="AN63" s="218">
        <f t="shared" si="162"/>
        <v>0</v>
      </c>
      <c r="AO63" s="218">
        <f t="shared" si="163"/>
        <v>0</v>
      </c>
      <c r="AP63" s="219">
        <f t="shared" si="159"/>
        <v>0</v>
      </c>
      <c r="AQ63" s="308">
        <v>4</v>
      </c>
      <c r="AR63" s="308">
        <v>12</v>
      </c>
      <c r="AS63" s="220">
        <v>1</v>
      </c>
      <c r="AT63" s="220">
        <v>12</v>
      </c>
      <c r="AU63" s="221">
        <f t="shared" si="61"/>
        <v>43313</v>
      </c>
      <c r="AV63" s="221">
        <f t="shared" si="62"/>
        <v>43617</v>
      </c>
      <c r="AW63" s="222">
        <f t="shared" si="92"/>
        <v>5.7099999999999998E-2</v>
      </c>
      <c r="AX63" s="222">
        <f t="shared" si="93"/>
        <v>9.64E-2</v>
      </c>
      <c r="AY63" s="219">
        <f t="shared" si="160"/>
        <v>0</v>
      </c>
      <c r="AZ63" s="219">
        <f t="shared" si="161"/>
        <v>0</v>
      </c>
      <c r="BA63" s="309"/>
      <c r="BB63" s="310"/>
      <c r="BC63" s="223" t="e">
        <f t="shared" si="157"/>
        <v>#DIV/0!</v>
      </c>
      <c r="BD63" s="224"/>
      <c r="BE63" s="225" t="e">
        <f t="shared" si="169"/>
        <v>#DIV/0!</v>
      </c>
      <c r="BF63" s="225" t="e">
        <f t="shared" si="170"/>
        <v>#DIV/0!</v>
      </c>
      <c r="BG63" s="225" t="e">
        <f t="shared" si="171"/>
        <v>#DIV/0!</v>
      </c>
      <c r="BH63" s="225" t="e">
        <f t="shared" si="172"/>
        <v>#DIV/0!</v>
      </c>
      <c r="BI63" s="225" t="e">
        <f t="shared" si="173"/>
        <v>#DIV/0!</v>
      </c>
      <c r="BJ63" s="226"/>
      <c r="BK63" s="307"/>
      <c r="BL63" s="307"/>
      <c r="BM63" s="307"/>
      <c r="BN63" s="307"/>
      <c r="BO63" s="307"/>
      <c r="BP63" s="307"/>
      <c r="BQ63" s="307"/>
      <c r="BR63" s="307"/>
      <c r="BS63" s="307"/>
      <c r="BT63" s="307"/>
      <c r="BU63" s="307"/>
      <c r="BV63" s="307"/>
      <c r="BW63" s="307"/>
      <c r="BX63" s="307"/>
      <c r="BY63" s="307"/>
      <c r="BZ63" s="307"/>
      <c r="CA63" s="307"/>
      <c r="CB63" s="307"/>
      <c r="CC63" s="307"/>
      <c r="CD63" s="307"/>
      <c r="CE63" s="307"/>
      <c r="CF63" s="307"/>
      <c r="CG63" s="307"/>
      <c r="CH63" s="307"/>
      <c r="CI63" s="307"/>
      <c r="CJ63" s="307"/>
      <c r="CK63" s="307"/>
      <c r="CL63" s="307"/>
      <c r="CM63" s="307"/>
      <c r="CN63" s="307"/>
      <c r="CO63" s="307"/>
      <c r="CP63" s="307"/>
      <c r="CQ63" s="307"/>
      <c r="CR63" s="307"/>
      <c r="CS63" s="307"/>
      <c r="CT63" s="307"/>
      <c r="CU63" s="307"/>
      <c r="CV63" s="307"/>
      <c r="CW63" s="307"/>
      <c r="CX63" s="307"/>
    </row>
    <row r="64" spans="1:102" s="229" customFormat="1" ht="22.5" hidden="1">
      <c r="A64" s="304">
        <f t="shared" si="102"/>
        <v>61</v>
      </c>
      <c r="B64" s="302"/>
      <c r="C64" s="371"/>
      <c r="D64" s="230"/>
      <c r="E64" s="231" t="s">
        <v>241</v>
      </c>
      <c r="F64" s="232"/>
      <c r="G64" s="305"/>
      <c r="H64" s="233" t="s">
        <v>106</v>
      </c>
      <c r="I64" s="306"/>
      <c r="J64" s="307"/>
      <c r="K64" s="307"/>
      <c r="L64" s="307"/>
      <c r="M64" s="307"/>
      <c r="N64" s="307"/>
      <c r="O64" s="216">
        <f t="shared" si="73"/>
        <v>0</v>
      </c>
      <c r="P64" s="307">
        <f t="shared" si="175"/>
        <v>0</v>
      </c>
      <c r="Q64" s="307"/>
      <c r="R64" s="307"/>
      <c r="S64" s="307"/>
      <c r="T64" s="216">
        <f t="shared" si="176"/>
        <v>0</v>
      </c>
      <c r="U64" s="217">
        <f t="shared" si="76"/>
        <v>0</v>
      </c>
      <c r="V64" s="217">
        <f t="shared" si="77"/>
        <v>0</v>
      </c>
      <c r="W64" s="307">
        <f t="shared" si="137"/>
        <v>0</v>
      </c>
      <c r="X64" s="215"/>
      <c r="Y64" s="215"/>
      <c r="Z64" s="307"/>
      <c r="AA64" s="217">
        <f t="shared" si="138"/>
        <v>0</v>
      </c>
      <c r="AB64" s="217">
        <f t="shared" si="139"/>
        <v>0</v>
      </c>
      <c r="AC64" s="217">
        <f t="shared" si="140"/>
        <v>0</v>
      </c>
      <c r="AD64" s="217">
        <f t="shared" si="141"/>
        <v>0</v>
      </c>
      <c r="AE64" s="217">
        <f t="shared" si="82"/>
        <v>0</v>
      </c>
      <c r="AF64" s="217">
        <f t="shared" si="152"/>
        <v>0</v>
      </c>
      <c r="AG64" s="217">
        <f t="shared" si="153"/>
        <v>0</v>
      </c>
      <c r="AH64" s="217">
        <f t="shared" si="154"/>
        <v>0</v>
      </c>
      <c r="AI64" s="217">
        <f t="shared" si="155"/>
        <v>0</v>
      </c>
      <c r="AJ64" s="217">
        <f t="shared" si="179"/>
        <v>0</v>
      </c>
      <c r="AK64" s="218">
        <f t="shared" si="164"/>
        <v>0</v>
      </c>
      <c r="AL64" s="218">
        <f t="shared" si="158"/>
        <v>0</v>
      </c>
      <c r="AM64" s="218">
        <f t="shared" si="165"/>
        <v>0</v>
      </c>
      <c r="AN64" s="218">
        <f t="shared" si="162"/>
        <v>0</v>
      </c>
      <c r="AO64" s="218">
        <f t="shared" si="163"/>
        <v>0</v>
      </c>
      <c r="AP64" s="219">
        <f t="shared" si="159"/>
        <v>0</v>
      </c>
      <c r="AQ64" s="308">
        <v>4</v>
      </c>
      <c r="AR64" s="308">
        <v>12</v>
      </c>
      <c r="AS64" s="220">
        <v>1</v>
      </c>
      <c r="AT64" s="220">
        <v>12</v>
      </c>
      <c r="AU64" s="221">
        <f t="shared" si="61"/>
        <v>43313</v>
      </c>
      <c r="AV64" s="221">
        <f t="shared" si="62"/>
        <v>43617</v>
      </c>
      <c r="AW64" s="222">
        <f t="shared" si="92"/>
        <v>5.7099999999999998E-2</v>
      </c>
      <c r="AX64" s="222">
        <f t="shared" si="93"/>
        <v>9.64E-2</v>
      </c>
      <c r="AY64" s="219">
        <f t="shared" si="160"/>
        <v>0</v>
      </c>
      <c r="AZ64" s="219">
        <f t="shared" si="161"/>
        <v>0</v>
      </c>
      <c r="BA64" s="309"/>
      <c r="BB64" s="310"/>
      <c r="BC64" s="223" t="e">
        <f t="shared" si="157"/>
        <v>#DIV/0!</v>
      </c>
      <c r="BD64" s="224"/>
      <c r="BE64" s="225" t="e">
        <f t="shared" si="169"/>
        <v>#DIV/0!</v>
      </c>
      <c r="BF64" s="225" t="e">
        <f t="shared" si="170"/>
        <v>#DIV/0!</v>
      </c>
      <c r="BG64" s="225" t="e">
        <f t="shared" si="171"/>
        <v>#DIV/0!</v>
      </c>
      <c r="BH64" s="225" t="e">
        <f t="shared" si="172"/>
        <v>#DIV/0!</v>
      </c>
      <c r="BI64" s="225" t="e">
        <f t="shared" si="173"/>
        <v>#DIV/0!</v>
      </c>
      <c r="BJ64" s="226"/>
      <c r="BK64" s="307"/>
      <c r="BL64" s="307"/>
      <c r="BM64" s="307"/>
      <c r="BN64" s="307"/>
      <c r="BO64" s="307"/>
      <c r="BP64" s="307"/>
      <c r="BQ64" s="307"/>
      <c r="BR64" s="307"/>
      <c r="BS64" s="307"/>
      <c r="BT64" s="307"/>
      <c r="BU64" s="307"/>
      <c r="BV64" s="307"/>
      <c r="BW64" s="307"/>
      <c r="BX64" s="307"/>
      <c r="BY64" s="307"/>
      <c r="BZ64" s="307"/>
      <c r="CA64" s="307"/>
      <c r="CB64" s="307"/>
      <c r="CC64" s="307"/>
      <c r="CD64" s="307"/>
      <c r="CE64" s="307"/>
      <c r="CF64" s="307"/>
      <c r="CG64" s="307"/>
      <c r="CH64" s="307"/>
      <c r="CI64" s="307"/>
      <c r="CJ64" s="307"/>
      <c r="CK64" s="307"/>
      <c r="CL64" s="307"/>
      <c r="CM64" s="307"/>
      <c r="CN64" s="307"/>
      <c r="CO64" s="307"/>
      <c r="CP64" s="307"/>
      <c r="CQ64" s="307"/>
      <c r="CR64" s="307"/>
      <c r="CS64" s="307"/>
      <c r="CT64" s="307"/>
      <c r="CU64" s="307"/>
      <c r="CV64" s="307"/>
      <c r="CW64" s="307"/>
      <c r="CX64" s="307"/>
    </row>
    <row r="65" spans="1:102" s="229" customFormat="1" ht="22.5" hidden="1">
      <c r="A65" s="304">
        <f t="shared" si="102"/>
        <v>62</v>
      </c>
      <c r="B65" s="302"/>
      <c r="C65" s="371"/>
      <c r="D65" s="230"/>
      <c r="E65" s="231" t="s">
        <v>241</v>
      </c>
      <c r="F65" s="232"/>
      <c r="G65" s="305"/>
      <c r="H65" s="233" t="s">
        <v>106</v>
      </c>
      <c r="I65" s="306"/>
      <c r="J65" s="307"/>
      <c r="K65" s="307"/>
      <c r="L65" s="307"/>
      <c r="M65" s="307"/>
      <c r="N65" s="307"/>
      <c r="O65" s="216">
        <f t="shared" si="73"/>
        <v>0</v>
      </c>
      <c r="P65" s="307">
        <f t="shared" si="175"/>
        <v>0</v>
      </c>
      <c r="Q65" s="307"/>
      <c r="R65" s="307"/>
      <c r="S65" s="307"/>
      <c r="T65" s="216">
        <f t="shared" si="176"/>
        <v>0</v>
      </c>
      <c r="U65" s="217">
        <f t="shared" si="76"/>
        <v>0</v>
      </c>
      <c r="V65" s="217">
        <f t="shared" si="77"/>
        <v>0</v>
      </c>
      <c r="W65" s="307">
        <f t="shared" si="137"/>
        <v>0</v>
      </c>
      <c r="X65" s="215"/>
      <c r="Y65" s="215"/>
      <c r="Z65" s="307"/>
      <c r="AA65" s="217">
        <f t="shared" si="138"/>
        <v>0</v>
      </c>
      <c r="AB65" s="217">
        <f t="shared" si="139"/>
        <v>0</v>
      </c>
      <c r="AC65" s="217">
        <f t="shared" si="140"/>
        <v>0</v>
      </c>
      <c r="AD65" s="217">
        <f t="shared" si="141"/>
        <v>0</v>
      </c>
      <c r="AE65" s="217">
        <f t="shared" si="82"/>
        <v>0</v>
      </c>
      <c r="AF65" s="217">
        <f t="shared" si="152"/>
        <v>0</v>
      </c>
      <c r="AG65" s="217">
        <f t="shared" si="153"/>
        <v>0</v>
      </c>
      <c r="AH65" s="217">
        <f t="shared" si="154"/>
        <v>0</v>
      </c>
      <c r="AI65" s="217">
        <f t="shared" si="155"/>
        <v>0</v>
      </c>
      <c r="AJ65" s="217">
        <f t="shared" si="179"/>
        <v>0</v>
      </c>
      <c r="AK65" s="218">
        <f t="shared" si="164"/>
        <v>0</v>
      </c>
      <c r="AL65" s="218">
        <f t="shared" si="158"/>
        <v>0</v>
      </c>
      <c r="AM65" s="218">
        <f t="shared" si="165"/>
        <v>0</v>
      </c>
      <c r="AN65" s="218">
        <f t="shared" si="162"/>
        <v>0</v>
      </c>
      <c r="AO65" s="218">
        <f t="shared" si="163"/>
        <v>0</v>
      </c>
      <c r="AP65" s="219">
        <f t="shared" si="159"/>
        <v>0</v>
      </c>
      <c r="AQ65" s="308">
        <v>4</v>
      </c>
      <c r="AR65" s="308">
        <v>12</v>
      </c>
      <c r="AS65" s="220">
        <v>1</v>
      </c>
      <c r="AT65" s="220">
        <v>12</v>
      </c>
      <c r="AU65" s="221">
        <f t="shared" si="61"/>
        <v>43313</v>
      </c>
      <c r="AV65" s="221">
        <f t="shared" si="62"/>
        <v>43617</v>
      </c>
      <c r="AW65" s="222">
        <f t="shared" si="92"/>
        <v>5.7099999999999998E-2</v>
      </c>
      <c r="AX65" s="222">
        <f t="shared" si="93"/>
        <v>9.64E-2</v>
      </c>
      <c r="AY65" s="219">
        <f t="shared" si="160"/>
        <v>0</v>
      </c>
      <c r="AZ65" s="219">
        <f t="shared" si="161"/>
        <v>0</v>
      </c>
      <c r="BA65" s="309"/>
      <c r="BB65" s="310"/>
      <c r="BC65" s="223" t="e">
        <f t="shared" si="157"/>
        <v>#DIV/0!</v>
      </c>
      <c r="BD65" s="224"/>
      <c r="BE65" s="225" t="e">
        <f t="shared" si="169"/>
        <v>#DIV/0!</v>
      </c>
      <c r="BF65" s="225" t="e">
        <f t="shared" si="170"/>
        <v>#DIV/0!</v>
      </c>
      <c r="BG65" s="225" t="e">
        <f t="shared" si="171"/>
        <v>#DIV/0!</v>
      </c>
      <c r="BH65" s="225" t="e">
        <f t="shared" si="172"/>
        <v>#DIV/0!</v>
      </c>
      <c r="BI65" s="225" t="e">
        <f t="shared" si="173"/>
        <v>#DIV/0!</v>
      </c>
      <c r="BJ65" s="226"/>
      <c r="BK65" s="307"/>
      <c r="BL65" s="307"/>
      <c r="BM65" s="307"/>
      <c r="BN65" s="307"/>
      <c r="BO65" s="307"/>
      <c r="BP65" s="307"/>
      <c r="BQ65" s="307"/>
      <c r="BR65" s="307"/>
      <c r="BS65" s="307"/>
      <c r="BT65" s="307"/>
      <c r="BU65" s="307"/>
      <c r="BV65" s="307"/>
      <c r="BW65" s="307"/>
      <c r="BX65" s="307"/>
      <c r="BY65" s="307"/>
      <c r="BZ65" s="307"/>
      <c r="CA65" s="307"/>
      <c r="CB65" s="307"/>
      <c r="CC65" s="307"/>
      <c r="CD65" s="307"/>
      <c r="CE65" s="307"/>
      <c r="CF65" s="307"/>
      <c r="CG65" s="307"/>
      <c r="CH65" s="307"/>
      <c r="CI65" s="307"/>
      <c r="CJ65" s="307"/>
      <c r="CK65" s="307"/>
      <c r="CL65" s="307"/>
      <c r="CM65" s="307"/>
      <c r="CN65" s="307"/>
      <c r="CO65" s="307"/>
      <c r="CP65" s="307"/>
      <c r="CQ65" s="307"/>
      <c r="CR65" s="307"/>
      <c r="CS65" s="307"/>
      <c r="CT65" s="307"/>
      <c r="CU65" s="307"/>
      <c r="CV65" s="307"/>
      <c r="CW65" s="307"/>
      <c r="CX65" s="307"/>
    </row>
    <row r="66" spans="1:102" s="229" customFormat="1" ht="22.5" hidden="1">
      <c r="A66" s="304">
        <f t="shared" si="102"/>
        <v>63</v>
      </c>
      <c r="B66" s="302"/>
      <c r="C66" s="371"/>
      <c r="D66" s="230"/>
      <c r="E66" s="231" t="s">
        <v>241</v>
      </c>
      <c r="F66" s="232"/>
      <c r="G66" s="305"/>
      <c r="H66" s="233" t="s">
        <v>106</v>
      </c>
      <c r="I66" s="306"/>
      <c r="J66" s="307"/>
      <c r="K66" s="307"/>
      <c r="L66" s="307"/>
      <c r="M66" s="307"/>
      <c r="N66" s="307"/>
      <c r="O66" s="216">
        <f t="shared" si="73"/>
        <v>0</v>
      </c>
      <c r="P66" s="307">
        <f t="shared" si="175"/>
        <v>0</v>
      </c>
      <c r="Q66" s="307"/>
      <c r="R66" s="307"/>
      <c r="S66" s="307"/>
      <c r="T66" s="216">
        <f t="shared" si="176"/>
        <v>0</v>
      </c>
      <c r="U66" s="217">
        <f t="shared" si="76"/>
        <v>0</v>
      </c>
      <c r="V66" s="217">
        <f t="shared" si="77"/>
        <v>0</v>
      </c>
      <c r="W66" s="307">
        <f t="shared" si="137"/>
        <v>0</v>
      </c>
      <c r="X66" s="215"/>
      <c r="Y66" s="215"/>
      <c r="Z66" s="307"/>
      <c r="AA66" s="217">
        <f t="shared" si="138"/>
        <v>0</v>
      </c>
      <c r="AB66" s="217">
        <f t="shared" si="139"/>
        <v>0</v>
      </c>
      <c r="AC66" s="217">
        <f t="shared" si="140"/>
        <v>0</v>
      </c>
      <c r="AD66" s="217">
        <f t="shared" si="141"/>
        <v>0</v>
      </c>
      <c r="AE66" s="217">
        <f t="shared" si="82"/>
        <v>0</v>
      </c>
      <c r="AF66" s="217">
        <f t="shared" si="152"/>
        <v>0</v>
      </c>
      <c r="AG66" s="217">
        <f t="shared" si="153"/>
        <v>0</v>
      </c>
      <c r="AH66" s="217">
        <f t="shared" si="154"/>
        <v>0</v>
      </c>
      <c r="AI66" s="217">
        <f t="shared" si="155"/>
        <v>0</v>
      </c>
      <c r="AJ66" s="217">
        <f t="shared" si="179"/>
        <v>0</v>
      </c>
      <c r="AK66" s="218">
        <f t="shared" si="164"/>
        <v>0</v>
      </c>
      <c r="AL66" s="218">
        <f t="shared" si="158"/>
        <v>0</v>
      </c>
      <c r="AM66" s="218">
        <f t="shared" si="165"/>
        <v>0</v>
      </c>
      <c r="AN66" s="218">
        <f t="shared" si="162"/>
        <v>0</v>
      </c>
      <c r="AO66" s="218">
        <f t="shared" si="163"/>
        <v>0</v>
      </c>
      <c r="AP66" s="219">
        <f t="shared" si="159"/>
        <v>0</v>
      </c>
      <c r="AQ66" s="308">
        <v>4</v>
      </c>
      <c r="AR66" s="308">
        <v>12</v>
      </c>
      <c r="AS66" s="220">
        <v>1</v>
      </c>
      <c r="AT66" s="220">
        <v>12</v>
      </c>
      <c r="AU66" s="221">
        <f t="shared" si="61"/>
        <v>43313</v>
      </c>
      <c r="AV66" s="221">
        <f t="shared" si="62"/>
        <v>43617</v>
      </c>
      <c r="AW66" s="222">
        <f t="shared" si="92"/>
        <v>5.7099999999999998E-2</v>
      </c>
      <c r="AX66" s="222">
        <f t="shared" si="93"/>
        <v>9.64E-2</v>
      </c>
      <c r="AY66" s="219">
        <f t="shared" si="160"/>
        <v>0</v>
      </c>
      <c r="AZ66" s="219">
        <f t="shared" si="161"/>
        <v>0</v>
      </c>
      <c r="BA66" s="309"/>
      <c r="BB66" s="310"/>
      <c r="BC66" s="223" t="e">
        <f t="shared" si="157"/>
        <v>#DIV/0!</v>
      </c>
      <c r="BD66" s="224"/>
      <c r="BE66" s="225" t="e">
        <f t="shared" si="169"/>
        <v>#DIV/0!</v>
      </c>
      <c r="BF66" s="225" t="e">
        <f t="shared" si="170"/>
        <v>#DIV/0!</v>
      </c>
      <c r="BG66" s="225" t="e">
        <f t="shared" si="171"/>
        <v>#DIV/0!</v>
      </c>
      <c r="BH66" s="225" t="e">
        <f t="shared" si="172"/>
        <v>#DIV/0!</v>
      </c>
      <c r="BI66" s="225" t="e">
        <f t="shared" si="173"/>
        <v>#DIV/0!</v>
      </c>
      <c r="BJ66" s="226"/>
      <c r="BK66" s="307"/>
      <c r="BL66" s="307"/>
      <c r="BM66" s="307"/>
      <c r="BN66" s="307"/>
      <c r="BO66" s="307"/>
      <c r="BP66" s="307"/>
      <c r="BQ66" s="307"/>
      <c r="BR66" s="307"/>
      <c r="BS66" s="307"/>
      <c r="BT66" s="307"/>
      <c r="BU66" s="307"/>
      <c r="BV66" s="307"/>
      <c r="BW66" s="307"/>
      <c r="BX66" s="307"/>
      <c r="BY66" s="307"/>
      <c r="BZ66" s="307"/>
      <c r="CA66" s="307"/>
      <c r="CB66" s="307"/>
      <c r="CC66" s="307"/>
      <c r="CD66" s="307"/>
      <c r="CE66" s="307"/>
      <c r="CF66" s="307"/>
      <c r="CG66" s="307"/>
      <c r="CH66" s="307"/>
      <c r="CI66" s="307"/>
      <c r="CJ66" s="307"/>
      <c r="CK66" s="307"/>
      <c r="CL66" s="307"/>
      <c r="CM66" s="307"/>
      <c r="CN66" s="307"/>
      <c r="CO66" s="307"/>
      <c r="CP66" s="307"/>
      <c r="CQ66" s="307"/>
      <c r="CR66" s="307"/>
      <c r="CS66" s="307"/>
      <c r="CT66" s="307"/>
      <c r="CU66" s="307"/>
      <c r="CV66" s="307"/>
      <c r="CW66" s="307"/>
      <c r="CX66" s="307"/>
    </row>
    <row r="67" spans="1:102" s="229" customFormat="1" ht="22.5" hidden="1">
      <c r="A67" s="304">
        <f t="shared" si="102"/>
        <v>64</v>
      </c>
      <c r="B67" s="302"/>
      <c r="C67" s="371"/>
      <c r="D67" s="230"/>
      <c r="E67" s="231" t="s">
        <v>241</v>
      </c>
      <c r="F67" s="232"/>
      <c r="G67" s="305"/>
      <c r="H67" s="233" t="s">
        <v>106</v>
      </c>
      <c r="I67" s="306"/>
      <c r="J67" s="307"/>
      <c r="K67" s="307"/>
      <c r="L67" s="307"/>
      <c r="M67" s="307"/>
      <c r="N67" s="307"/>
      <c r="O67" s="216">
        <f t="shared" si="73"/>
        <v>0</v>
      </c>
      <c r="P67" s="307">
        <f t="shared" si="175"/>
        <v>0</v>
      </c>
      <c r="Q67" s="307"/>
      <c r="R67" s="307"/>
      <c r="S67" s="307"/>
      <c r="T67" s="216">
        <f t="shared" si="176"/>
        <v>0</v>
      </c>
      <c r="U67" s="217">
        <f t="shared" si="76"/>
        <v>0</v>
      </c>
      <c r="V67" s="217">
        <f t="shared" si="77"/>
        <v>0</v>
      </c>
      <c r="W67" s="307">
        <f t="shared" si="137"/>
        <v>0</v>
      </c>
      <c r="X67" s="215"/>
      <c r="Y67" s="215"/>
      <c r="Z67" s="307"/>
      <c r="AA67" s="217">
        <f t="shared" si="138"/>
        <v>0</v>
      </c>
      <c r="AB67" s="217">
        <f t="shared" si="139"/>
        <v>0</v>
      </c>
      <c r="AC67" s="217">
        <f t="shared" si="140"/>
        <v>0</v>
      </c>
      <c r="AD67" s="217">
        <f t="shared" si="141"/>
        <v>0</v>
      </c>
      <c r="AE67" s="217">
        <f t="shared" si="82"/>
        <v>0</v>
      </c>
      <c r="AF67" s="217">
        <f t="shared" si="152"/>
        <v>0</v>
      </c>
      <c r="AG67" s="217">
        <f t="shared" si="153"/>
        <v>0</v>
      </c>
      <c r="AH67" s="217">
        <f t="shared" si="154"/>
        <v>0</v>
      </c>
      <c r="AI67" s="217">
        <f t="shared" si="155"/>
        <v>0</v>
      </c>
      <c r="AJ67" s="217">
        <f t="shared" si="179"/>
        <v>0</v>
      </c>
      <c r="AK67" s="218">
        <f t="shared" si="164"/>
        <v>0</v>
      </c>
      <c r="AL67" s="218">
        <f t="shared" si="158"/>
        <v>0</v>
      </c>
      <c r="AM67" s="218">
        <f t="shared" si="165"/>
        <v>0</v>
      </c>
      <c r="AN67" s="218">
        <f t="shared" si="162"/>
        <v>0</v>
      </c>
      <c r="AO67" s="218">
        <f t="shared" si="163"/>
        <v>0</v>
      </c>
      <c r="AP67" s="219">
        <f t="shared" si="159"/>
        <v>0</v>
      </c>
      <c r="AQ67" s="308">
        <v>4</v>
      </c>
      <c r="AR67" s="308">
        <v>12</v>
      </c>
      <c r="AS67" s="220">
        <v>1</v>
      </c>
      <c r="AT67" s="220">
        <v>12</v>
      </c>
      <c r="AU67" s="221">
        <f t="shared" si="61"/>
        <v>43313</v>
      </c>
      <c r="AV67" s="221">
        <f t="shared" si="62"/>
        <v>43617</v>
      </c>
      <c r="AW67" s="222">
        <f t="shared" si="92"/>
        <v>5.7099999999999998E-2</v>
      </c>
      <c r="AX67" s="222">
        <f t="shared" si="93"/>
        <v>9.64E-2</v>
      </c>
      <c r="AY67" s="219">
        <f t="shared" si="160"/>
        <v>0</v>
      </c>
      <c r="AZ67" s="219">
        <f t="shared" si="161"/>
        <v>0</v>
      </c>
      <c r="BA67" s="309"/>
      <c r="BB67" s="310"/>
      <c r="BC67" s="223" t="e">
        <f t="shared" si="157"/>
        <v>#DIV/0!</v>
      </c>
      <c r="BD67" s="224"/>
      <c r="BE67" s="225" t="e">
        <f t="shared" si="169"/>
        <v>#DIV/0!</v>
      </c>
      <c r="BF67" s="225" t="e">
        <f t="shared" si="170"/>
        <v>#DIV/0!</v>
      </c>
      <c r="BG67" s="225" t="e">
        <f t="shared" si="171"/>
        <v>#DIV/0!</v>
      </c>
      <c r="BH67" s="225" t="e">
        <f t="shared" si="172"/>
        <v>#DIV/0!</v>
      </c>
      <c r="BI67" s="225" t="e">
        <f t="shared" si="173"/>
        <v>#DIV/0!</v>
      </c>
      <c r="BJ67" s="226"/>
      <c r="BK67" s="307"/>
      <c r="BL67" s="307"/>
      <c r="BM67" s="307"/>
      <c r="BN67" s="307"/>
      <c r="BO67" s="307"/>
      <c r="BP67" s="307"/>
      <c r="BQ67" s="307"/>
      <c r="BR67" s="307"/>
      <c r="BS67" s="307"/>
      <c r="BT67" s="307"/>
      <c r="BU67" s="307"/>
      <c r="BV67" s="307"/>
      <c r="BW67" s="307"/>
      <c r="BX67" s="307"/>
      <c r="BY67" s="307"/>
      <c r="BZ67" s="307"/>
      <c r="CA67" s="307"/>
      <c r="CB67" s="307"/>
      <c r="CC67" s="307"/>
      <c r="CD67" s="307"/>
      <c r="CE67" s="307"/>
      <c r="CF67" s="307"/>
      <c r="CG67" s="307"/>
      <c r="CH67" s="307"/>
      <c r="CI67" s="307"/>
      <c r="CJ67" s="307"/>
      <c r="CK67" s="307"/>
      <c r="CL67" s="307"/>
      <c r="CM67" s="307"/>
      <c r="CN67" s="307"/>
      <c r="CO67" s="307"/>
      <c r="CP67" s="307"/>
      <c r="CQ67" s="307"/>
      <c r="CR67" s="307"/>
      <c r="CS67" s="307"/>
      <c r="CT67" s="307"/>
      <c r="CU67" s="307"/>
      <c r="CV67" s="307"/>
      <c r="CW67" s="307"/>
      <c r="CX67" s="307"/>
    </row>
    <row r="68" spans="1:102" s="229" customFormat="1" ht="22.5" hidden="1">
      <c r="A68" s="304">
        <f t="shared" si="102"/>
        <v>65</v>
      </c>
      <c r="B68" s="302"/>
      <c r="C68" s="371"/>
      <c r="D68" s="230"/>
      <c r="E68" s="231" t="s">
        <v>241</v>
      </c>
      <c r="F68" s="232"/>
      <c r="G68" s="305"/>
      <c r="H68" s="233" t="s">
        <v>106</v>
      </c>
      <c r="I68" s="306"/>
      <c r="J68" s="307"/>
      <c r="K68" s="307"/>
      <c r="L68" s="307"/>
      <c r="M68" s="307"/>
      <c r="N68" s="307"/>
      <c r="O68" s="216">
        <f t="shared" si="73"/>
        <v>0</v>
      </c>
      <c r="P68" s="307">
        <f t="shared" si="175"/>
        <v>0</v>
      </c>
      <c r="Q68" s="307"/>
      <c r="R68" s="307"/>
      <c r="S68" s="307"/>
      <c r="T68" s="216">
        <f t="shared" si="176"/>
        <v>0</v>
      </c>
      <c r="U68" s="217">
        <f t="shared" si="76"/>
        <v>0</v>
      </c>
      <c r="V68" s="217">
        <f t="shared" si="77"/>
        <v>0</v>
      </c>
      <c r="W68" s="307">
        <f t="shared" si="137"/>
        <v>0</v>
      </c>
      <c r="X68" s="215"/>
      <c r="Y68" s="215"/>
      <c r="Z68" s="307"/>
      <c r="AA68" s="217">
        <f t="shared" si="138"/>
        <v>0</v>
      </c>
      <c r="AB68" s="217">
        <f t="shared" si="139"/>
        <v>0</v>
      </c>
      <c r="AC68" s="217">
        <f t="shared" si="140"/>
        <v>0</v>
      </c>
      <c r="AD68" s="217">
        <f t="shared" si="141"/>
        <v>0</v>
      </c>
      <c r="AE68" s="217">
        <f t="shared" si="82"/>
        <v>0</v>
      </c>
      <c r="AF68" s="217">
        <f t="shared" si="152"/>
        <v>0</v>
      </c>
      <c r="AG68" s="217">
        <f t="shared" si="153"/>
        <v>0</v>
      </c>
      <c r="AH68" s="217">
        <f t="shared" si="154"/>
        <v>0</v>
      </c>
      <c r="AI68" s="217">
        <f t="shared" si="155"/>
        <v>0</v>
      </c>
      <c r="AJ68" s="217">
        <f t="shared" si="179"/>
        <v>0</v>
      </c>
      <c r="AK68" s="218">
        <f t="shared" si="164"/>
        <v>0</v>
      </c>
      <c r="AL68" s="218">
        <f t="shared" si="158"/>
        <v>0</v>
      </c>
      <c r="AM68" s="218">
        <f t="shared" si="165"/>
        <v>0</v>
      </c>
      <c r="AN68" s="218">
        <f t="shared" si="162"/>
        <v>0</v>
      </c>
      <c r="AO68" s="218">
        <f t="shared" si="163"/>
        <v>0</v>
      </c>
      <c r="AP68" s="219">
        <f t="shared" si="159"/>
        <v>0</v>
      </c>
      <c r="AQ68" s="308">
        <v>4</v>
      </c>
      <c r="AR68" s="308">
        <v>12</v>
      </c>
      <c r="AS68" s="220">
        <v>1</v>
      </c>
      <c r="AT68" s="220">
        <v>12</v>
      </c>
      <c r="AU68" s="221">
        <f t="shared" si="61"/>
        <v>43313</v>
      </c>
      <c r="AV68" s="221">
        <f t="shared" si="62"/>
        <v>43617</v>
      </c>
      <c r="AW68" s="222">
        <f t="shared" si="92"/>
        <v>5.7099999999999998E-2</v>
      </c>
      <c r="AX68" s="222">
        <f t="shared" si="93"/>
        <v>9.64E-2</v>
      </c>
      <c r="AY68" s="219">
        <f t="shared" si="160"/>
        <v>0</v>
      </c>
      <c r="AZ68" s="219">
        <f t="shared" si="161"/>
        <v>0</v>
      </c>
      <c r="BA68" s="309"/>
      <c r="BB68" s="310"/>
      <c r="BC68" s="223" t="e">
        <f t="shared" si="157"/>
        <v>#DIV/0!</v>
      </c>
      <c r="BD68" s="224"/>
      <c r="BE68" s="225" t="e">
        <f t="shared" si="169"/>
        <v>#DIV/0!</v>
      </c>
      <c r="BF68" s="225" t="e">
        <f t="shared" si="170"/>
        <v>#DIV/0!</v>
      </c>
      <c r="BG68" s="225" t="e">
        <f t="shared" si="171"/>
        <v>#DIV/0!</v>
      </c>
      <c r="BH68" s="225" t="e">
        <f t="shared" si="172"/>
        <v>#DIV/0!</v>
      </c>
      <c r="BI68" s="225" t="e">
        <f t="shared" si="173"/>
        <v>#DIV/0!</v>
      </c>
      <c r="BJ68" s="226"/>
      <c r="BK68" s="307"/>
      <c r="BL68" s="307"/>
      <c r="BM68" s="307"/>
      <c r="BN68" s="307"/>
      <c r="BO68" s="307"/>
      <c r="BP68" s="307"/>
      <c r="BQ68" s="307"/>
      <c r="BR68" s="307"/>
      <c r="BS68" s="307"/>
      <c r="BT68" s="307"/>
      <c r="BU68" s="307"/>
      <c r="BV68" s="307"/>
      <c r="BW68" s="307"/>
      <c r="BX68" s="307"/>
      <c r="BY68" s="307"/>
      <c r="BZ68" s="307"/>
      <c r="CA68" s="307"/>
      <c r="CB68" s="307"/>
      <c r="CC68" s="307"/>
      <c r="CD68" s="307"/>
      <c r="CE68" s="307"/>
      <c r="CF68" s="307"/>
      <c r="CG68" s="307"/>
      <c r="CH68" s="307"/>
      <c r="CI68" s="307"/>
      <c r="CJ68" s="307"/>
      <c r="CK68" s="307"/>
      <c r="CL68" s="307"/>
      <c r="CM68" s="307"/>
      <c r="CN68" s="307"/>
      <c r="CO68" s="307"/>
      <c r="CP68" s="307"/>
      <c r="CQ68" s="307"/>
      <c r="CR68" s="307"/>
      <c r="CS68" s="307"/>
      <c r="CT68" s="307"/>
      <c r="CU68" s="307"/>
      <c r="CV68" s="307"/>
      <c r="CW68" s="307"/>
      <c r="CX68" s="307"/>
    </row>
    <row r="69" spans="1:102" s="229" customFormat="1" ht="22.5" hidden="1">
      <c r="A69" s="304">
        <f t="shared" si="102"/>
        <v>66</v>
      </c>
      <c r="B69" s="302"/>
      <c r="C69" s="371"/>
      <c r="D69" s="230"/>
      <c r="E69" s="231" t="s">
        <v>241</v>
      </c>
      <c r="F69" s="232"/>
      <c r="G69" s="305"/>
      <c r="H69" s="233" t="s">
        <v>106</v>
      </c>
      <c r="I69" s="306"/>
      <c r="J69" s="307"/>
      <c r="K69" s="307"/>
      <c r="L69" s="307"/>
      <c r="M69" s="307"/>
      <c r="N69" s="307"/>
      <c r="O69" s="216">
        <f t="shared" si="73"/>
        <v>0</v>
      </c>
      <c r="P69" s="307">
        <f t="shared" si="175"/>
        <v>0</v>
      </c>
      <c r="Q69" s="307"/>
      <c r="R69" s="307"/>
      <c r="S69" s="307"/>
      <c r="T69" s="216">
        <f t="shared" si="176"/>
        <v>0</v>
      </c>
      <c r="U69" s="217">
        <f t="shared" si="76"/>
        <v>0</v>
      </c>
      <c r="V69" s="217">
        <f t="shared" si="77"/>
        <v>0</v>
      </c>
      <c r="W69" s="307">
        <f t="shared" si="137"/>
        <v>0</v>
      </c>
      <c r="X69" s="215"/>
      <c r="Y69" s="215"/>
      <c r="Z69" s="307"/>
      <c r="AA69" s="217">
        <f t="shared" si="138"/>
        <v>0</v>
      </c>
      <c r="AB69" s="217">
        <f t="shared" si="139"/>
        <v>0</v>
      </c>
      <c r="AC69" s="217">
        <f t="shared" si="140"/>
        <v>0</v>
      </c>
      <c r="AD69" s="217">
        <f t="shared" si="141"/>
        <v>0</v>
      </c>
      <c r="AE69" s="217">
        <f t="shared" si="82"/>
        <v>0</v>
      </c>
      <c r="AF69" s="217">
        <f t="shared" si="152"/>
        <v>0</v>
      </c>
      <c r="AG69" s="217">
        <f t="shared" si="153"/>
        <v>0</v>
      </c>
      <c r="AH69" s="217">
        <f t="shared" si="154"/>
        <v>0</v>
      </c>
      <c r="AI69" s="217">
        <f t="shared" si="155"/>
        <v>0</v>
      </c>
      <c r="AJ69" s="217">
        <f t="shared" si="179"/>
        <v>0</v>
      </c>
      <c r="AK69" s="218">
        <f t="shared" si="164"/>
        <v>0</v>
      </c>
      <c r="AL69" s="218">
        <f t="shared" si="158"/>
        <v>0</v>
      </c>
      <c r="AM69" s="218">
        <f t="shared" si="165"/>
        <v>0</v>
      </c>
      <c r="AN69" s="218">
        <f t="shared" si="162"/>
        <v>0</v>
      </c>
      <c r="AO69" s="218">
        <f t="shared" si="163"/>
        <v>0</v>
      </c>
      <c r="AP69" s="219">
        <f t="shared" si="159"/>
        <v>0</v>
      </c>
      <c r="AQ69" s="308">
        <v>4</v>
      </c>
      <c r="AR69" s="308">
        <v>12</v>
      </c>
      <c r="AS69" s="220">
        <v>1</v>
      </c>
      <c r="AT69" s="220">
        <v>12</v>
      </c>
      <c r="AU69" s="221">
        <f t="shared" si="61"/>
        <v>43313</v>
      </c>
      <c r="AV69" s="221">
        <f t="shared" si="62"/>
        <v>43617</v>
      </c>
      <c r="AW69" s="222">
        <f t="shared" si="92"/>
        <v>5.7099999999999998E-2</v>
      </c>
      <c r="AX69" s="222">
        <f t="shared" si="93"/>
        <v>9.64E-2</v>
      </c>
      <c r="AY69" s="219">
        <f t="shared" si="160"/>
        <v>0</v>
      </c>
      <c r="AZ69" s="219">
        <f t="shared" si="161"/>
        <v>0</v>
      </c>
      <c r="BA69" s="309"/>
      <c r="BB69" s="310"/>
      <c r="BC69" s="223" t="e">
        <f t="shared" si="157"/>
        <v>#DIV/0!</v>
      </c>
      <c r="BD69" s="224"/>
      <c r="BE69" s="225" t="e">
        <f t="shared" si="169"/>
        <v>#DIV/0!</v>
      </c>
      <c r="BF69" s="225" t="e">
        <f t="shared" si="170"/>
        <v>#DIV/0!</v>
      </c>
      <c r="BG69" s="225" t="e">
        <f t="shared" si="171"/>
        <v>#DIV/0!</v>
      </c>
      <c r="BH69" s="225" t="e">
        <f t="shared" si="172"/>
        <v>#DIV/0!</v>
      </c>
      <c r="BI69" s="225" t="e">
        <f t="shared" si="173"/>
        <v>#DIV/0!</v>
      </c>
      <c r="BJ69" s="226"/>
      <c r="BK69" s="307"/>
      <c r="BL69" s="307"/>
      <c r="BM69" s="307"/>
      <c r="BN69" s="307"/>
      <c r="BO69" s="307"/>
      <c r="BP69" s="307"/>
      <c r="BQ69" s="307"/>
      <c r="BR69" s="307"/>
      <c r="BS69" s="307"/>
      <c r="BT69" s="307"/>
      <c r="BU69" s="307"/>
      <c r="BV69" s="307"/>
      <c r="BW69" s="307"/>
      <c r="BX69" s="307"/>
      <c r="BY69" s="307"/>
      <c r="BZ69" s="307"/>
      <c r="CA69" s="307"/>
      <c r="CB69" s="307"/>
      <c r="CC69" s="307"/>
      <c r="CD69" s="307"/>
      <c r="CE69" s="307"/>
      <c r="CF69" s="307"/>
      <c r="CG69" s="307"/>
      <c r="CH69" s="307"/>
      <c r="CI69" s="307"/>
      <c r="CJ69" s="307"/>
      <c r="CK69" s="307"/>
      <c r="CL69" s="307"/>
      <c r="CM69" s="307"/>
      <c r="CN69" s="307"/>
      <c r="CO69" s="307"/>
      <c r="CP69" s="307"/>
      <c r="CQ69" s="307"/>
      <c r="CR69" s="307"/>
      <c r="CS69" s="307"/>
      <c r="CT69" s="307"/>
      <c r="CU69" s="307"/>
      <c r="CV69" s="307"/>
      <c r="CW69" s="307"/>
      <c r="CX69" s="307"/>
    </row>
    <row r="70" spans="1:102" s="229" customFormat="1" ht="22.5" hidden="1">
      <c r="A70" s="304">
        <f t="shared" ref="A70:A93" si="180">A69+1</f>
        <v>67</v>
      </c>
      <c r="B70" s="302"/>
      <c r="C70" s="371"/>
      <c r="D70" s="230"/>
      <c r="E70" s="231" t="s">
        <v>241</v>
      </c>
      <c r="F70" s="232"/>
      <c r="G70" s="305"/>
      <c r="H70" s="233" t="s">
        <v>106</v>
      </c>
      <c r="I70" s="306"/>
      <c r="J70" s="307"/>
      <c r="K70" s="307"/>
      <c r="L70" s="307"/>
      <c r="M70" s="307"/>
      <c r="N70" s="307"/>
      <c r="O70" s="216">
        <f t="shared" si="73"/>
        <v>0</v>
      </c>
      <c r="P70" s="307">
        <f t="shared" si="175"/>
        <v>0</v>
      </c>
      <c r="Q70" s="307"/>
      <c r="R70" s="307"/>
      <c r="S70" s="307"/>
      <c r="T70" s="216">
        <f t="shared" si="176"/>
        <v>0</v>
      </c>
      <c r="U70" s="217">
        <f t="shared" si="76"/>
        <v>0</v>
      </c>
      <c r="V70" s="217">
        <f t="shared" si="77"/>
        <v>0</v>
      </c>
      <c r="W70" s="307">
        <f t="shared" si="137"/>
        <v>0</v>
      </c>
      <c r="X70" s="215"/>
      <c r="Y70" s="215"/>
      <c r="Z70" s="307"/>
      <c r="AA70" s="217">
        <f t="shared" si="138"/>
        <v>0</v>
      </c>
      <c r="AB70" s="217">
        <f t="shared" si="139"/>
        <v>0</v>
      </c>
      <c r="AC70" s="217">
        <f t="shared" si="140"/>
        <v>0</v>
      </c>
      <c r="AD70" s="217">
        <f t="shared" si="141"/>
        <v>0</v>
      </c>
      <c r="AE70" s="217">
        <f t="shared" si="82"/>
        <v>0</v>
      </c>
      <c r="AF70" s="217">
        <f t="shared" si="152"/>
        <v>0</v>
      </c>
      <c r="AG70" s="217">
        <f t="shared" si="153"/>
        <v>0</v>
      </c>
      <c r="AH70" s="217">
        <f t="shared" si="154"/>
        <v>0</v>
      </c>
      <c r="AI70" s="217">
        <f t="shared" si="155"/>
        <v>0</v>
      </c>
      <c r="AJ70" s="217">
        <f t="shared" si="179"/>
        <v>0</v>
      </c>
      <c r="AK70" s="218">
        <f t="shared" si="164"/>
        <v>0</v>
      </c>
      <c r="AL70" s="218">
        <f t="shared" si="158"/>
        <v>0</v>
      </c>
      <c r="AM70" s="218">
        <f t="shared" si="165"/>
        <v>0</v>
      </c>
      <c r="AN70" s="218">
        <f t="shared" si="162"/>
        <v>0</v>
      </c>
      <c r="AO70" s="218">
        <f t="shared" si="163"/>
        <v>0</v>
      </c>
      <c r="AP70" s="219">
        <f t="shared" si="159"/>
        <v>0</v>
      </c>
      <c r="AQ70" s="308">
        <v>4</v>
      </c>
      <c r="AR70" s="308">
        <v>12</v>
      </c>
      <c r="AS70" s="220">
        <v>1</v>
      </c>
      <c r="AT70" s="220">
        <v>12</v>
      </c>
      <c r="AU70" s="221">
        <f t="shared" si="61"/>
        <v>43313</v>
      </c>
      <c r="AV70" s="221">
        <f t="shared" si="62"/>
        <v>43617</v>
      </c>
      <c r="AW70" s="222">
        <f t="shared" si="92"/>
        <v>5.7099999999999998E-2</v>
      </c>
      <c r="AX70" s="222">
        <f t="shared" si="93"/>
        <v>9.64E-2</v>
      </c>
      <c r="AY70" s="219">
        <f t="shared" si="160"/>
        <v>0</v>
      </c>
      <c r="AZ70" s="219">
        <f t="shared" si="161"/>
        <v>0</v>
      </c>
      <c r="BA70" s="309"/>
      <c r="BB70" s="310"/>
      <c r="BC70" s="223" t="e">
        <f t="shared" si="157"/>
        <v>#DIV/0!</v>
      </c>
      <c r="BD70" s="224"/>
      <c r="BE70" s="225" t="e">
        <f t="shared" si="169"/>
        <v>#DIV/0!</v>
      </c>
      <c r="BF70" s="225" t="e">
        <f t="shared" si="170"/>
        <v>#DIV/0!</v>
      </c>
      <c r="BG70" s="225" t="e">
        <f t="shared" si="171"/>
        <v>#DIV/0!</v>
      </c>
      <c r="BH70" s="225" t="e">
        <f t="shared" si="172"/>
        <v>#DIV/0!</v>
      </c>
      <c r="BI70" s="225" t="e">
        <f t="shared" si="173"/>
        <v>#DIV/0!</v>
      </c>
      <c r="BJ70" s="226"/>
      <c r="BK70" s="307"/>
      <c r="BL70" s="307"/>
      <c r="BM70" s="307"/>
      <c r="BN70" s="307"/>
      <c r="BO70" s="307"/>
      <c r="BP70" s="307"/>
      <c r="BQ70" s="307"/>
      <c r="BR70" s="307"/>
      <c r="BS70" s="307"/>
      <c r="BT70" s="307"/>
      <c r="BU70" s="307"/>
      <c r="BV70" s="307"/>
      <c r="BW70" s="307"/>
      <c r="BX70" s="307"/>
      <c r="BY70" s="307"/>
      <c r="BZ70" s="307"/>
      <c r="CA70" s="307"/>
      <c r="CB70" s="307"/>
      <c r="CC70" s="307"/>
      <c r="CD70" s="307"/>
      <c r="CE70" s="307"/>
      <c r="CF70" s="307"/>
      <c r="CG70" s="307"/>
      <c r="CH70" s="307"/>
      <c r="CI70" s="307"/>
      <c r="CJ70" s="307"/>
      <c r="CK70" s="307"/>
      <c r="CL70" s="307"/>
      <c r="CM70" s="307"/>
      <c r="CN70" s="307"/>
      <c r="CO70" s="307"/>
      <c r="CP70" s="307"/>
      <c r="CQ70" s="307"/>
      <c r="CR70" s="307"/>
      <c r="CS70" s="307"/>
      <c r="CT70" s="307"/>
      <c r="CU70" s="307"/>
      <c r="CV70" s="307"/>
      <c r="CW70" s="307"/>
      <c r="CX70" s="307"/>
    </row>
    <row r="71" spans="1:102" s="229" customFormat="1" ht="22.5" hidden="1">
      <c r="A71" s="304">
        <f t="shared" si="180"/>
        <v>68</v>
      </c>
      <c r="B71" s="302"/>
      <c r="C71" s="371"/>
      <c r="D71" s="230"/>
      <c r="E71" s="231" t="s">
        <v>241</v>
      </c>
      <c r="F71" s="232"/>
      <c r="G71" s="305"/>
      <c r="H71" s="233" t="s">
        <v>106</v>
      </c>
      <c r="I71" s="306"/>
      <c r="J71" s="307"/>
      <c r="K71" s="307"/>
      <c r="L71" s="307"/>
      <c r="M71" s="307"/>
      <c r="N71" s="307"/>
      <c r="O71" s="216">
        <f t="shared" ref="O71:O92" si="181">SUM(J71:N71)</f>
        <v>0</v>
      </c>
      <c r="P71" s="307">
        <f t="shared" si="175"/>
        <v>0</v>
      </c>
      <c r="Q71" s="307"/>
      <c r="R71" s="307"/>
      <c r="S71" s="307"/>
      <c r="T71" s="216">
        <f t="shared" ref="T71:T92" si="182">SUM(P71:S71)</f>
        <v>0</v>
      </c>
      <c r="U71" s="217">
        <f t="shared" ref="U71:U92" si="183">ROUND(VLOOKUP($H71,рем_содер,6,0)*P71,0)</f>
        <v>0</v>
      </c>
      <c r="V71" s="217">
        <f t="shared" ref="V71:V92" si="184">ROUND(VLOOKUP($H71,рем_содер,6,0)*Q71,0)</f>
        <v>0</v>
      </c>
      <c r="W71" s="307">
        <f t="shared" ref="W71:W92" si="185">ROUND(VLOOKUP(H71,рем_содер,7,0)*(P71+Q71+U71+V71),0)</f>
        <v>0</v>
      </c>
      <c r="X71" s="215"/>
      <c r="Y71" s="215"/>
      <c r="Z71" s="307"/>
      <c r="AA71" s="217">
        <f t="shared" ref="AA71:AA92" si="186">ROUND(VLOOKUP(H71,рем_содер,8,0)*SUM(P71,U71,X71),0)</f>
        <v>0</v>
      </c>
      <c r="AB71" s="217">
        <f t="shared" ref="AB71:AB92" si="187">ROUND(VLOOKUP(H71,рем_содер,8,0)*SUM(Q71,V71,Y71),0)</f>
        <v>0</v>
      </c>
      <c r="AC71" s="217">
        <f t="shared" ref="AC71:AC92" si="188">ROUND(VLOOKUP(H71,рем_содер,8,0)*R71,0)</f>
        <v>0</v>
      </c>
      <c r="AD71" s="217">
        <f t="shared" ref="AD71:AD92" si="189">ROUND(VLOOKUP(H71,рем_содер,8,0)*SUM(S71,W71,Z71),0)</f>
        <v>0</v>
      </c>
      <c r="AE71" s="217">
        <f t="shared" ref="AE71:AE92" si="190">ROUND(SUM(AA71:AD71),0)</f>
        <v>0</v>
      </c>
      <c r="AF71" s="217">
        <f t="shared" si="152"/>
        <v>0</v>
      </c>
      <c r="AG71" s="217">
        <f t="shared" si="153"/>
        <v>0</v>
      </c>
      <c r="AH71" s="217">
        <f t="shared" si="154"/>
        <v>0</v>
      </c>
      <c r="AI71" s="217">
        <f t="shared" si="155"/>
        <v>0</v>
      </c>
      <c r="AJ71" s="217">
        <f t="shared" si="179"/>
        <v>0</v>
      </c>
      <c r="AK71" s="218">
        <f t="shared" si="164"/>
        <v>0</v>
      </c>
      <c r="AL71" s="218">
        <f t="shared" si="158"/>
        <v>0</v>
      </c>
      <c r="AM71" s="218">
        <f t="shared" si="165"/>
        <v>0</v>
      </c>
      <c r="AN71" s="218">
        <f t="shared" si="162"/>
        <v>0</v>
      </c>
      <c r="AO71" s="218">
        <f t="shared" si="163"/>
        <v>0</v>
      </c>
      <c r="AP71" s="219">
        <f t="shared" si="159"/>
        <v>0</v>
      </c>
      <c r="AQ71" s="308">
        <v>4</v>
      </c>
      <c r="AR71" s="308">
        <v>12</v>
      </c>
      <c r="AS71" s="220">
        <v>1</v>
      </c>
      <c r="AT71" s="220">
        <v>12</v>
      </c>
      <c r="AU71" s="221">
        <f t="shared" si="61"/>
        <v>43313</v>
      </c>
      <c r="AV71" s="221">
        <f t="shared" si="62"/>
        <v>43617</v>
      </c>
      <c r="AW71" s="222">
        <f t="shared" ref="AW71:AW92" si="191">ROUND(IF(VLOOKUP($H71,рем_содер,3,0)=2,(1+VLOOKUP($E71,инф_р,HLOOKUP(AW$1,инф_р,2,0),0))*(1+VLOOKUP(AW$1,год,2,0)/12*ROUNDDOWN((AQ71+AR71)/2,0))-1-VLOOKUP($E71,инф_р2,HLOOKUP(AW$1,инф_р2,2,0),0),(1+VLOOKUP($E71,инф_с,HLOOKUP(AW$1,инф_с,2,0),0))*(1+VLOOKUP(AW$1,год,3,0)/12*ROUNDDOWN((AQ71+AR71)/2,0))-1-VLOOKUP($E71,инф_с2,HLOOKUP(AW$1,инф_с2,2,0),0)),4)</f>
        <v>5.7099999999999998E-2</v>
      </c>
      <c r="AX71" s="222">
        <f t="shared" ref="AX71:AX92" si="192">ROUND(IF(VLOOKUP($H71,рем_содер,3,0)=2,(1+VLOOKUP($E71,инф_р,HLOOKUP(AX$1,инф_р,2,0),0))*(1+VLOOKUP(AX$1,год,2,0)/12*ROUNDDOWN((AS71+AT71)/2,0))-1-VLOOKUP($E71,инф_р2,HLOOKUP(AX$1,инф_р2,2,0),0),(1+VLOOKUP($E71,инф_с,HLOOKUP(AX$1,инф_с,2,0),0))*(1+VLOOKUP(AX$1,год,3,0)/12*ROUNDDOWN((AS71+AT71)/2,0))-1-VLOOKUP($E71,инф_с2,HLOOKUP(AX$1,инф_с2,2,0),0)),4)</f>
        <v>9.64E-2</v>
      </c>
      <c r="AY71" s="219">
        <f t="shared" si="160"/>
        <v>0</v>
      </c>
      <c r="AZ71" s="219">
        <f t="shared" si="161"/>
        <v>0</v>
      </c>
      <c r="BA71" s="309"/>
      <c r="BB71" s="310"/>
      <c r="BC71" s="223" t="e">
        <f t="shared" si="157"/>
        <v>#DIV/0!</v>
      </c>
      <c r="BD71" s="224"/>
      <c r="BE71" s="225" t="e">
        <f t="shared" si="169"/>
        <v>#DIV/0!</v>
      </c>
      <c r="BF71" s="225" t="e">
        <f t="shared" si="170"/>
        <v>#DIV/0!</v>
      </c>
      <c r="BG71" s="225" t="e">
        <f t="shared" si="171"/>
        <v>#DIV/0!</v>
      </c>
      <c r="BH71" s="225" t="e">
        <f t="shared" si="172"/>
        <v>#DIV/0!</v>
      </c>
      <c r="BI71" s="225" t="e">
        <f t="shared" si="173"/>
        <v>#DIV/0!</v>
      </c>
      <c r="BJ71" s="226"/>
      <c r="BK71" s="307"/>
      <c r="BL71" s="307"/>
      <c r="BM71" s="307"/>
      <c r="BN71" s="307"/>
      <c r="BO71" s="307"/>
      <c r="BP71" s="307"/>
      <c r="BQ71" s="307"/>
      <c r="BR71" s="307"/>
      <c r="BS71" s="307"/>
      <c r="BT71" s="307"/>
      <c r="BU71" s="307"/>
      <c r="BV71" s="307"/>
      <c r="BW71" s="307"/>
      <c r="BX71" s="307"/>
      <c r="BY71" s="307"/>
      <c r="BZ71" s="307"/>
      <c r="CA71" s="307"/>
      <c r="CB71" s="307"/>
      <c r="CC71" s="307"/>
      <c r="CD71" s="307"/>
      <c r="CE71" s="307"/>
      <c r="CF71" s="307"/>
      <c r="CG71" s="307"/>
      <c r="CH71" s="307"/>
      <c r="CI71" s="307"/>
      <c r="CJ71" s="307"/>
      <c r="CK71" s="307"/>
      <c r="CL71" s="307"/>
      <c r="CM71" s="307"/>
      <c r="CN71" s="307"/>
      <c r="CO71" s="307"/>
      <c r="CP71" s="307"/>
      <c r="CQ71" s="307"/>
      <c r="CR71" s="307"/>
      <c r="CS71" s="307"/>
      <c r="CT71" s="307"/>
      <c r="CU71" s="307"/>
      <c r="CV71" s="307"/>
      <c r="CW71" s="307"/>
      <c r="CX71" s="307"/>
    </row>
    <row r="72" spans="1:102" s="229" customFormat="1" ht="22.5" hidden="1">
      <c r="A72" s="304">
        <f t="shared" si="180"/>
        <v>69</v>
      </c>
      <c r="B72" s="302"/>
      <c r="C72" s="371"/>
      <c r="D72" s="230"/>
      <c r="E72" s="231" t="s">
        <v>241</v>
      </c>
      <c r="F72" s="232"/>
      <c r="G72" s="305"/>
      <c r="H72" s="233" t="s">
        <v>106</v>
      </c>
      <c r="I72" s="306"/>
      <c r="J72" s="307"/>
      <c r="K72" s="307"/>
      <c r="L72" s="307"/>
      <c r="M72" s="307"/>
      <c r="N72" s="307"/>
      <c r="O72" s="216">
        <f t="shared" si="181"/>
        <v>0</v>
      </c>
      <c r="P72" s="307">
        <f t="shared" si="175"/>
        <v>0</v>
      </c>
      <c r="Q72" s="307"/>
      <c r="R72" s="307"/>
      <c r="S72" s="307"/>
      <c r="T72" s="216">
        <f t="shared" si="182"/>
        <v>0</v>
      </c>
      <c r="U72" s="217">
        <f t="shared" si="183"/>
        <v>0</v>
      </c>
      <c r="V72" s="217">
        <f t="shared" si="184"/>
        <v>0</v>
      </c>
      <c r="W72" s="307">
        <f t="shared" si="185"/>
        <v>0</v>
      </c>
      <c r="X72" s="215"/>
      <c r="Y72" s="215"/>
      <c r="Z72" s="307"/>
      <c r="AA72" s="217">
        <f t="shared" si="186"/>
        <v>0</v>
      </c>
      <c r="AB72" s="217">
        <f t="shared" si="187"/>
        <v>0</v>
      </c>
      <c r="AC72" s="217">
        <f t="shared" si="188"/>
        <v>0</v>
      </c>
      <c r="AD72" s="217">
        <f t="shared" si="189"/>
        <v>0</v>
      </c>
      <c r="AE72" s="217">
        <f t="shared" si="190"/>
        <v>0</v>
      </c>
      <c r="AF72" s="217">
        <f t="shared" si="152"/>
        <v>0</v>
      </c>
      <c r="AG72" s="217">
        <f t="shared" si="153"/>
        <v>0</v>
      </c>
      <c r="AH72" s="217">
        <f t="shared" si="154"/>
        <v>0</v>
      </c>
      <c r="AI72" s="217">
        <f t="shared" si="155"/>
        <v>0</v>
      </c>
      <c r="AJ72" s="217">
        <f t="shared" ref="AJ72" si="193">SUM(AF72:AI72)</f>
        <v>0</v>
      </c>
      <c r="AK72" s="218">
        <f t="shared" si="164"/>
        <v>0</v>
      </c>
      <c r="AL72" s="218">
        <f t="shared" si="158"/>
        <v>0</v>
      </c>
      <c r="AM72" s="218">
        <f t="shared" si="165"/>
        <v>0</v>
      </c>
      <c r="AN72" s="218">
        <f t="shared" si="162"/>
        <v>0</v>
      </c>
      <c r="AO72" s="218">
        <f t="shared" si="163"/>
        <v>0</v>
      </c>
      <c r="AP72" s="219">
        <f t="shared" si="159"/>
        <v>0</v>
      </c>
      <c r="AQ72" s="308">
        <v>4</v>
      </c>
      <c r="AR72" s="308">
        <v>12</v>
      </c>
      <c r="AS72" s="220">
        <v>1</v>
      </c>
      <c r="AT72" s="220">
        <v>12</v>
      </c>
      <c r="AU72" s="221">
        <f t="shared" si="61"/>
        <v>43313</v>
      </c>
      <c r="AV72" s="221">
        <f t="shared" si="62"/>
        <v>43617</v>
      </c>
      <c r="AW72" s="222">
        <f t="shared" si="191"/>
        <v>5.7099999999999998E-2</v>
      </c>
      <c r="AX72" s="222">
        <f t="shared" si="192"/>
        <v>9.64E-2</v>
      </c>
      <c r="AY72" s="219">
        <f t="shared" si="160"/>
        <v>0</v>
      </c>
      <c r="AZ72" s="219">
        <f t="shared" si="161"/>
        <v>0</v>
      </c>
      <c r="BA72" s="309"/>
      <c r="BB72" s="310"/>
      <c r="BC72" s="223" t="e">
        <f t="shared" si="157"/>
        <v>#DIV/0!</v>
      </c>
      <c r="BD72" s="224"/>
      <c r="BE72" s="225" t="e">
        <f t="shared" si="169"/>
        <v>#DIV/0!</v>
      </c>
      <c r="BF72" s="225" t="e">
        <f t="shared" si="170"/>
        <v>#DIV/0!</v>
      </c>
      <c r="BG72" s="225" t="e">
        <f t="shared" si="171"/>
        <v>#DIV/0!</v>
      </c>
      <c r="BH72" s="225" t="e">
        <f t="shared" si="172"/>
        <v>#DIV/0!</v>
      </c>
      <c r="BI72" s="225" t="e">
        <f t="shared" si="173"/>
        <v>#DIV/0!</v>
      </c>
      <c r="BJ72" s="226"/>
      <c r="BK72" s="307"/>
      <c r="BL72" s="307"/>
      <c r="BM72" s="307"/>
      <c r="BN72" s="307"/>
      <c r="BO72" s="307"/>
      <c r="BP72" s="307"/>
      <c r="BQ72" s="307"/>
      <c r="BR72" s="307"/>
      <c r="BS72" s="307"/>
      <c r="BT72" s="307"/>
      <c r="BU72" s="307"/>
      <c r="BV72" s="307"/>
      <c r="BW72" s="307"/>
      <c r="BX72" s="307"/>
      <c r="BY72" s="307"/>
      <c r="BZ72" s="307"/>
      <c r="CA72" s="307"/>
      <c r="CB72" s="307"/>
      <c r="CC72" s="307"/>
      <c r="CD72" s="307"/>
      <c r="CE72" s="307"/>
      <c r="CF72" s="307"/>
      <c r="CG72" s="307"/>
      <c r="CH72" s="307"/>
      <c r="CI72" s="307"/>
      <c r="CJ72" s="307"/>
      <c r="CK72" s="307"/>
      <c r="CL72" s="307"/>
      <c r="CM72" s="307"/>
      <c r="CN72" s="307"/>
      <c r="CO72" s="307"/>
      <c r="CP72" s="307"/>
      <c r="CQ72" s="307"/>
      <c r="CR72" s="307"/>
      <c r="CS72" s="307"/>
      <c r="CT72" s="307"/>
      <c r="CU72" s="307"/>
      <c r="CV72" s="307"/>
      <c r="CW72" s="307"/>
      <c r="CX72" s="307"/>
    </row>
    <row r="73" spans="1:102" s="229" customFormat="1" ht="22.5" hidden="1">
      <c r="A73" s="304">
        <f t="shared" si="180"/>
        <v>70</v>
      </c>
      <c r="B73" s="302"/>
      <c r="C73" s="371"/>
      <c r="D73" s="230"/>
      <c r="E73" s="231" t="s">
        <v>241</v>
      </c>
      <c r="F73" s="232"/>
      <c r="G73" s="305"/>
      <c r="H73" s="233" t="s">
        <v>106</v>
      </c>
      <c r="I73" s="306"/>
      <c r="J73" s="307"/>
      <c r="K73" s="307"/>
      <c r="L73" s="307"/>
      <c r="M73" s="307"/>
      <c r="N73" s="307"/>
      <c r="O73" s="216">
        <f t="shared" si="181"/>
        <v>0</v>
      </c>
      <c r="P73" s="307">
        <f t="shared" si="175"/>
        <v>0</v>
      </c>
      <c r="Q73" s="307"/>
      <c r="R73" s="307"/>
      <c r="S73" s="307"/>
      <c r="T73" s="216">
        <f t="shared" si="182"/>
        <v>0</v>
      </c>
      <c r="U73" s="217">
        <f t="shared" si="183"/>
        <v>0</v>
      </c>
      <c r="V73" s="217">
        <f t="shared" si="184"/>
        <v>0</v>
      </c>
      <c r="W73" s="307">
        <f t="shared" si="185"/>
        <v>0</v>
      </c>
      <c r="X73" s="215"/>
      <c r="Y73" s="215"/>
      <c r="Z73" s="307"/>
      <c r="AA73" s="217">
        <f t="shared" si="186"/>
        <v>0</v>
      </c>
      <c r="AB73" s="217">
        <f t="shared" si="187"/>
        <v>0</v>
      </c>
      <c r="AC73" s="217">
        <f t="shared" si="188"/>
        <v>0</v>
      </c>
      <c r="AD73" s="217">
        <f t="shared" si="189"/>
        <v>0</v>
      </c>
      <c r="AE73" s="217">
        <f t="shared" si="190"/>
        <v>0</v>
      </c>
      <c r="AF73" s="217">
        <f t="shared" ref="AF73:AF92" si="194">P73+U73+X73+AA73</f>
        <v>0</v>
      </c>
      <c r="AG73" s="217">
        <f t="shared" ref="AG73:AG92" si="195">Q73+V73+Y73+AB73</f>
        <v>0</v>
      </c>
      <c r="AH73" s="217">
        <f t="shared" ref="AH73:AH92" si="196">R73+AC73</f>
        <v>0</v>
      </c>
      <c r="AI73" s="217">
        <f t="shared" ref="AI73:AI92" si="197">S73+W73+Z73+AD73</f>
        <v>0</v>
      </c>
      <c r="AJ73" s="217">
        <f t="shared" ref="AJ73:AJ79" si="198">SUM(AF73:AI73)</f>
        <v>0</v>
      </c>
      <c r="AK73" s="218">
        <f t="shared" si="164"/>
        <v>0</v>
      </c>
      <c r="AL73" s="218">
        <f t="shared" si="158"/>
        <v>0</v>
      </c>
      <c r="AM73" s="218">
        <f t="shared" si="165"/>
        <v>0</v>
      </c>
      <c r="AN73" s="218">
        <f t="shared" si="162"/>
        <v>0</v>
      </c>
      <c r="AO73" s="218">
        <f t="shared" si="163"/>
        <v>0</v>
      </c>
      <c r="AP73" s="219">
        <f t="shared" si="159"/>
        <v>0</v>
      </c>
      <c r="AQ73" s="308">
        <v>4</v>
      </c>
      <c r="AR73" s="308">
        <v>12</v>
      </c>
      <c r="AS73" s="220">
        <v>1</v>
      </c>
      <c r="AT73" s="220">
        <v>12</v>
      </c>
      <c r="AU73" s="221">
        <f t="shared" si="61"/>
        <v>43313</v>
      </c>
      <c r="AV73" s="221">
        <f t="shared" si="62"/>
        <v>43617</v>
      </c>
      <c r="AW73" s="222">
        <f t="shared" si="191"/>
        <v>5.7099999999999998E-2</v>
      </c>
      <c r="AX73" s="222">
        <f t="shared" si="192"/>
        <v>9.64E-2</v>
      </c>
      <c r="AY73" s="219">
        <f t="shared" si="160"/>
        <v>0</v>
      </c>
      <c r="AZ73" s="219">
        <f t="shared" si="161"/>
        <v>0</v>
      </c>
      <c r="BA73" s="309"/>
      <c r="BB73" s="310"/>
      <c r="BC73" s="223" t="e">
        <f t="shared" ref="BC73:BC92" si="199">ROUND(AP73/BA73,0)</f>
        <v>#DIV/0!</v>
      </c>
      <c r="BD73" s="224"/>
      <c r="BE73" s="225" t="e">
        <f t="shared" si="169"/>
        <v>#DIV/0!</v>
      </c>
      <c r="BF73" s="225" t="e">
        <f t="shared" si="170"/>
        <v>#DIV/0!</v>
      </c>
      <c r="BG73" s="225" t="e">
        <f t="shared" si="171"/>
        <v>#DIV/0!</v>
      </c>
      <c r="BH73" s="225" t="e">
        <f t="shared" si="172"/>
        <v>#DIV/0!</v>
      </c>
      <c r="BI73" s="225" t="e">
        <f t="shared" si="173"/>
        <v>#DIV/0!</v>
      </c>
      <c r="BJ73" s="226"/>
      <c r="BK73" s="307"/>
      <c r="BL73" s="307"/>
      <c r="BM73" s="307"/>
      <c r="BN73" s="307"/>
      <c r="BO73" s="307"/>
      <c r="BP73" s="307"/>
      <c r="BQ73" s="307"/>
      <c r="BR73" s="307"/>
      <c r="BS73" s="307"/>
      <c r="BT73" s="307"/>
      <c r="BU73" s="307"/>
      <c r="BV73" s="307"/>
      <c r="BW73" s="307"/>
      <c r="BX73" s="307"/>
      <c r="BY73" s="307"/>
      <c r="BZ73" s="307"/>
      <c r="CA73" s="307"/>
      <c r="CB73" s="307"/>
      <c r="CC73" s="307"/>
      <c r="CD73" s="307"/>
      <c r="CE73" s="307"/>
      <c r="CF73" s="307"/>
      <c r="CG73" s="307"/>
      <c r="CH73" s="307"/>
      <c r="CI73" s="307"/>
      <c r="CJ73" s="307"/>
      <c r="CK73" s="307"/>
      <c r="CL73" s="307"/>
      <c r="CM73" s="307"/>
      <c r="CN73" s="307"/>
      <c r="CO73" s="307"/>
      <c r="CP73" s="307"/>
      <c r="CQ73" s="307"/>
      <c r="CR73" s="307"/>
      <c r="CS73" s="307"/>
      <c r="CT73" s="307"/>
      <c r="CU73" s="307"/>
      <c r="CV73" s="307"/>
      <c r="CW73" s="307"/>
      <c r="CX73" s="307"/>
    </row>
    <row r="74" spans="1:102" s="229" customFormat="1" ht="22.5" hidden="1">
      <c r="A74" s="304">
        <f t="shared" si="180"/>
        <v>71</v>
      </c>
      <c r="B74" s="302"/>
      <c r="C74" s="371"/>
      <c r="D74" s="230"/>
      <c r="E74" s="231" t="s">
        <v>241</v>
      </c>
      <c r="F74" s="232"/>
      <c r="G74" s="305"/>
      <c r="H74" s="233" t="s">
        <v>106</v>
      </c>
      <c r="I74" s="306"/>
      <c r="J74" s="307"/>
      <c r="K74" s="307"/>
      <c r="L74" s="307"/>
      <c r="M74" s="307"/>
      <c r="N74" s="307"/>
      <c r="O74" s="216">
        <f t="shared" si="181"/>
        <v>0</v>
      </c>
      <c r="P74" s="307">
        <f t="shared" si="175"/>
        <v>0</v>
      </c>
      <c r="Q74" s="307"/>
      <c r="R74" s="307"/>
      <c r="S74" s="307"/>
      <c r="T74" s="216">
        <f t="shared" si="182"/>
        <v>0</v>
      </c>
      <c r="U74" s="217">
        <f t="shared" si="183"/>
        <v>0</v>
      </c>
      <c r="V74" s="217">
        <f t="shared" si="184"/>
        <v>0</v>
      </c>
      <c r="W74" s="307">
        <f t="shared" si="185"/>
        <v>0</v>
      </c>
      <c r="X74" s="215"/>
      <c r="Y74" s="215"/>
      <c r="Z74" s="307"/>
      <c r="AA74" s="217">
        <f t="shared" si="186"/>
        <v>0</v>
      </c>
      <c r="AB74" s="217">
        <f t="shared" si="187"/>
        <v>0</v>
      </c>
      <c r="AC74" s="217">
        <f t="shared" si="188"/>
        <v>0</v>
      </c>
      <c r="AD74" s="217">
        <f t="shared" si="189"/>
        <v>0</v>
      </c>
      <c r="AE74" s="217">
        <f t="shared" si="190"/>
        <v>0</v>
      </c>
      <c r="AF74" s="217">
        <f t="shared" si="194"/>
        <v>0</v>
      </c>
      <c r="AG74" s="217">
        <f t="shared" si="195"/>
        <v>0</v>
      </c>
      <c r="AH74" s="217">
        <f t="shared" si="196"/>
        <v>0</v>
      </c>
      <c r="AI74" s="217">
        <f t="shared" si="197"/>
        <v>0</v>
      </c>
      <c r="AJ74" s="217">
        <f t="shared" si="198"/>
        <v>0</v>
      </c>
      <c r="AK74" s="218">
        <f t="shared" si="164"/>
        <v>0</v>
      </c>
      <c r="AL74" s="218">
        <f t="shared" si="158"/>
        <v>0</v>
      </c>
      <c r="AM74" s="218">
        <f t="shared" si="165"/>
        <v>0</v>
      </c>
      <c r="AN74" s="218">
        <f t="shared" si="162"/>
        <v>0</v>
      </c>
      <c r="AO74" s="218">
        <f t="shared" si="163"/>
        <v>0</v>
      </c>
      <c r="AP74" s="219">
        <f t="shared" si="159"/>
        <v>0</v>
      </c>
      <c r="AQ74" s="308">
        <v>4</v>
      </c>
      <c r="AR74" s="308">
        <v>12</v>
      </c>
      <c r="AS74" s="220">
        <v>1</v>
      </c>
      <c r="AT74" s="220">
        <v>12</v>
      </c>
      <c r="AU74" s="221">
        <f>DATE($AW$1,ROUNDDOWN(($AQ74+$AR74)/2,0),1)</f>
        <v>43313</v>
      </c>
      <c r="AV74" s="221">
        <f>DATE($AX$1,ROUNDDOWN(($AS74+$AT74)/2,0),1)</f>
        <v>43617</v>
      </c>
      <c r="AW74" s="222">
        <f t="shared" si="191"/>
        <v>5.7099999999999998E-2</v>
      </c>
      <c r="AX74" s="222">
        <f t="shared" si="192"/>
        <v>9.64E-2</v>
      </c>
      <c r="AY74" s="219">
        <f t="shared" si="160"/>
        <v>0</v>
      </c>
      <c r="AZ74" s="219">
        <f t="shared" si="161"/>
        <v>0</v>
      </c>
      <c r="BA74" s="309"/>
      <c r="BB74" s="310"/>
      <c r="BC74" s="223" t="e">
        <f t="shared" si="199"/>
        <v>#DIV/0!</v>
      </c>
      <c r="BD74" s="224"/>
      <c r="BE74" s="225" t="e">
        <f t="shared" si="169"/>
        <v>#DIV/0!</v>
      </c>
      <c r="BF74" s="225" t="e">
        <f t="shared" si="170"/>
        <v>#DIV/0!</v>
      </c>
      <c r="BG74" s="225" t="e">
        <f t="shared" si="171"/>
        <v>#DIV/0!</v>
      </c>
      <c r="BH74" s="225" t="e">
        <f t="shared" si="172"/>
        <v>#DIV/0!</v>
      </c>
      <c r="BI74" s="225" t="e">
        <f t="shared" si="173"/>
        <v>#DIV/0!</v>
      </c>
      <c r="BJ74" s="226"/>
      <c r="BK74" s="307"/>
      <c r="BL74" s="307"/>
      <c r="BM74" s="307"/>
      <c r="BN74" s="307"/>
      <c r="BO74" s="307"/>
      <c r="BP74" s="307"/>
      <c r="BQ74" s="307"/>
      <c r="BR74" s="307"/>
      <c r="BS74" s="307"/>
      <c r="BT74" s="307"/>
      <c r="BU74" s="307"/>
      <c r="BV74" s="307"/>
      <c r="BW74" s="307"/>
      <c r="BX74" s="307"/>
      <c r="BY74" s="307"/>
      <c r="BZ74" s="307"/>
      <c r="CA74" s="307"/>
      <c r="CB74" s="307"/>
      <c r="CC74" s="307"/>
      <c r="CD74" s="307"/>
      <c r="CE74" s="307"/>
      <c r="CF74" s="307"/>
      <c r="CG74" s="307"/>
      <c r="CH74" s="307"/>
      <c r="CI74" s="307"/>
      <c r="CJ74" s="307"/>
      <c r="CK74" s="307"/>
      <c r="CL74" s="307"/>
      <c r="CM74" s="307"/>
      <c r="CN74" s="307"/>
      <c r="CO74" s="307"/>
      <c r="CP74" s="307"/>
      <c r="CQ74" s="307"/>
      <c r="CR74" s="307"/>
      <c r="CS74" s="307"/>
      <c r="CT74" s="307"/>
      <c r="CU74" s="307"/>
      <c r="CV74" s="307"/>
      <c r="CW74" s="307"/>
      <c r="CX74" s="307"/>
    </row>
    <row r="75" spans="1:102" s="229" customFormat="1" ht="22.5" hidden="1">
      <c r="A75" s="304">
        <f t="shared" si="180"/>
        <v>72</v>
      </c>
      <c r="B75" s="302"/>
      <c r="C75" s="371"/>
      <c r="D75" s="230"/>
      <c r="E75" s="231" t="s">
        <v>241</v>
      </c>
      <c r="F75" s="232"/>
      <c r="G75" s="305"/>
      <c r="H75" s="233" t="s">
        <v>106</v>
      </c>
      <c r="I75" s="306"/>
      <c r="J75" s="307"/>
      <c r="K75" s="307"/>
      <c r="L75" s="307"/>
      <c r="M75" s="307"/>
      <c r="N75" s="307"/>
      <c r="O75" s="216">
        <f t="shared" si="181"/>
        <v>0</v>
      </c>
      <c r="P75" s="307">
        <f t="shared" si="175"/>
        <v>0</v>
      </c>
      <c r="Q75" s="307"/>
      <c r="R75" s="307"/>
      <c r="S75" s="307"/>
      <c r="T75" s="216">
        <f t="shared" si="182"/>
        <v>0</v>
      </c>
      <c r="U75" s="217">
        <f t="shared" si="183"/>
        <v>0</v>
      </c>
      <c r="V75" s="217">
        <f t="shared" si="184"/>
        <v>0</v>
      </c>
      <c r="W75" s="307">
        <f t="shared" si="185"/>
        <v>0</v>
      </c>
      <c r="X75" s="215"/>
      <c r="Y75" s="215"/>
      <c r="Z75" s="307"/>
      <c r="AA75" s="217">
        <f t="shared" si="186"/>
        <v>0</v>
      </c>
      <c r="AB75" s="217">
        <f t="shared" si="187"/>
        <v>0</v>
      </c>
      <c r="AC75" s="217">
        <f t="shared" si="188"/>
        <v>0</v>
      </c>
      <c r="AD75" s="217">
        <f t="shared" si="189"/>
        <v>0</v>
      </c>
      <c r="AE75" s="217">
        <f t="shared" si="190"/>
        <v>0</v>
      </c>
      <c r="AF75" s="217">
        <f t="shared" si="194"/>
        <v>0</v>
      </c>
      <c r="AG75" s="217">
        <f t="shared" si="195"/>
        <v>0</v>
      </c>
      <c r="AH75" s="217">
        <f t="shared" si="196"/>
        <v>0</v>
      </c>
      <c r="AI75" s="217">
        <f t="shared" si="197"/>
        <v>0</v>
      </c>
      <c r="AJ75" s="217">
        <f t="shared" si="198"/>
        <v>0</v>
      </c>
      <c r="AK75" s="218">
        <f t="shared" si="164"/>
        <v>0</v>
      </c>
      <c r="AL75" s="218">
        <f t="shared" si="158"/>
        <v>0</v>
      </c>
      <c r="AM75" s="218">
        <f t="shared" si="165"/>
        <v>0</v>
      </c>
      <c r="AN75" s="218">
        <f t="shared" si="162"/>
        <v>0</v>
      </c>
      <c r="AO75" s="218">
        <f t="shared" si="163"/>
        <v>0</v>
      </c>
      <c r="AP75" s="219">
        <f t="shared" si="159"/>
        <v>0</v>
      </c>
      <c r="AQ75" s="308">
        <v>4</v>
      </c>
      <c r="AR75" s="308">
        <v>12</v>
      </c>
      <c r="AS75" s="220">
        <v>1</v>
      </c>
      <c r="AT75" s="220">
        <v>12</v>
      </c>
      <c r="AU75" s="221">
        <f t="shared" si="61"/>
        <v>43313</v>
      </c>
      <c r="AV75" s="221">
        <f t="shared" si="62"/>
        <v>43617</v>
      </c>
      <c r="AW75" s="222">
        <f t="shared" si="191"/>
        <v>5.7099999999999998E-2</v>
      </c>
      <c r="AX75" s="222">
        <f t="shared" si="192"/>
        <v>9.64E-2</v>
      </c>
      <c r="AY75" s="219">
        <f t="shared" si="160"/>
        <v>0</v>
      </c>
      <c r="AZ75" s="219">
        <f t="shared" si="161"/>
        <v>0</v>
      </c>
      <c r="BA75" s="309"/>
      <c r="BB75" s="310"/>
      <c r="BC75" s="223" t="e">
        <f t="shared" si="199"/>
        <v>#DIV/0!</v>
      </c>
      <c r="BD75" s="224"/>
      <c r="BE75" s="225" t="e">
        <f t="shared" si="169"/>
        <v>#DIV/0!</v>
      </c>
      <c r="BF75" s="225" t="e">
        <f t="shared" si="170"/>
        <v>#DIV/0!</v>
      </c>
      <c r="BG75" s="225" t="e">
        <f t="shared" si="171"/>
        <v>#DIV/0!</v>
      </c>
      <c r="BH75" s="225" t="e">
        <f t="shared" si="172"/>
        <v>#DIV/0!</v>
      </c>
      <c r="BI75" s="225" t="e">
        <f t="shared" si="173"/>
        <v>#DIV/0!</v>
      </c>
      <c r="BJ75" s="226"/>
      <c r="BK75" s="307"/>
      <c r="BL75" s="307"/>
      <c r="BM75" s="307"/>
      <c r="BN75" s="307"/>
      <c r="BO75" s="307"/>
      <c r="BP75" s="307"/>
      <c r="BQ75" s="307"/>
      <c r="BR75" s="307"/>
      <c r="BS75" s="307"/>
      <c r="BT75" s="307"/>
      <c r="BU75" s="307"/>
      <c r="BV75" s="307"/>
      <c r="BW75" s="307"/>
      <c r="BX75" s="307"/>
      <c r="BY75" s="307"/>
      <c r="BZ75" s="307"/>
      <c r="CA75" s="307"/>
      <c r="CB75" s="307"/>
      <c r="CC75" s="307"/>
      <c r="CD75" s="307"/>
      <c r="CE75" s="307"/>
      <c r="CF75" s="307"/>
      <c r="CG75" s="307"/>
      <c r="CH75" s="307"/>
      <c r="CI75" s="307"/>
      <c r="CJ75" s="307"/>
      <c r="CK75" s="307"/>
      <c r="CL75" s="307"/>
      <c r="CM75" s="307"/>
      <c r="CN75" s="307"/>
      <c r="CO75" s="307"/>
      <c r="CP75" s="307"/>
      <c r="CQ75" s="307"/>
      <c r="CR75" s="307"/>
      <c r="CS75" s="307"/>
      <c r="CT75" s="307"/>
      <c r="CU75" s="307"/>
      <c r="CV75" s="307"/>
      <c r="CW75" s="307"/>
      <c r="CX75" s="307"/>
    </row>
    <row r="76" spans="1:102" s="229" customFormat="1" ht="22.5" hidden="1">
      <c r="A76" s="304">
        <f t="shared" si="180"/>
        <v>73</v>
      </c>
      <c r="B76" s="302"/>
      <c r="C76" s="371"/>
      <c r="D76" s="230"/>
      <c r="E76" s="231" t="s">
        <v>241</v>
      </c>
      <c r="F76" s="232"/>
      <c r="G76" s="305"/>
      <c r="H76" s="233" t="s">
        <v>106</v>
      </c>
      <c r="I76" s="306"/>
      <c r="J76" s="307"/>
      <c r="K76" s="307"/>
      <c r="L76" s="307"/>
      <c r="M76" s="307"/>
      <c r="N76" s="307"/>
      <c r="O76" s="216">
        <f t="shared" si="181"/>
        <v>0</v>
      </c>
      <c r="P76" s="307">
        <f t="shared" si="175"/>
        <v>0</v>
      </c>
      <c r="Q76" s="307"/>
      <c r="R76" s="307"/>
      <c r="S76" s="307"/>
      <c r="T76" s="216">
        <f t="shared" si="182"/>
        <v>0</v>
      </c>
      <c r="U76" s="217">
        <f t="shared" si="183"/>
        <v>0</v>
      </c>
      <c r="V76" s="217">
        <f t="shared" si="184"/>
        <v>0</v>
      </c>
      <c r="W76" s="307">
        <f t="shared" si="185"/>
        <v>0</v>
      </c>
      <c r="X76" s="215"/>
      <c r="Y76" s="215"/>
      <c r="Z76" s="307"/>
      <c r="AA76" s="217">
        <f t="shared" si="186"/>
        <v>0</v>
      </c>
      <c r="AB76" s="217">
        <f t="shared" si="187"/>
        <v>0</v>
      </c>
      <c r="AC76" s="217">
        <f t="shared" si="188"/>
        <v>0</v>
      </c>
      <c r="AD76" s="217">
        <f t="shared" si="189"/>
        <v>0</v>
      </c>
      <c r="AE76" s="217">
        <f t="shared" si="190"/>
        <v>0</v>
      </c>
      <c r="AF76" s="217">
        <f t="shared" si="194"/>
        <v>0</v>
      </c>
      <c r="AG76" s="217">
        <f t="shared" si="195"/>
        <v>0</v>
      </c>
      <c r="AH76" s="217">
        <f t="shared" si="196"/>
        <v>0</v>
      </c>
      <c r="AI76" s="217">
        <f t="shared" si="197"/>
        <v>0</v>
      </c>
      <c r="AJ76" s="217">
        <f t="shared" si="198"/>
        <v>0</v>
      </c>
      <c r="AK76" s="218">
        <f t="shared" si="164"/>
        <v>0</v>
      </c>
      <c r="AL76" s="218">
        <f t="shared" si="158"/>
        <v>0</v>
      </c>
      <c r="AM76" s="218">
        <f t="shared" si="165"/>
        <v>0</v>
      </c>
      <c r="AN76" s="218">
        <f t="shared" si="162"/>
        <v>0</v>
      </c>
      <c r="AO76" s="218">
        <f t="shared" si="163"/>
        <v>0</v>
      </c>
      <c r="AP76" s="219">
        <f t="shared" ref="AP76:AP92" si="200">SUM(AJ76,AL76,AM76,AN76,AO76)</f>
        <v>0</v>
      </c>
      <c r="AQ76" s="308">
        <v>4</v>
      </c>
      <c r="AR76" s="308">
        <v>12</v>
      </c>
      <c r="AS76" s="220">
        <v>1</v>
      </c>
      <c r="AT76" s="220">
        <v>12</v>
      </c>
      <c r="AU76" s="221">
        <f t="shared" si="61"/>
        <v>43313</v>
      </c>
      <c r="AV76" s="221">
        <f t="shared" si="62"/>
        <v>43617</v>
      </c>
      <c r="AW76" s="222">
        <f t="shared" si="191"/>
        <v>5.7099999999999998E-2</v>
      </c>
      <c r="AX76" s="222">
        <f t="shared" si="192"/>
        <v>9.64E-2</v>
      </c>
      <c r="AY76" s="219">
        <f t="shared" ref="AY76:AY92" si="201">AK76+AL76+AM76</f>
        <v>0</v>
      </c>
      <c r="AZ76" s="219">
        <f t="shared" ref="AZ76:AZ92" si="202">IF(F76="да",AJ76-AK76+AN76+AO76,0)</f>
        <v>0</v>
      </c>
      <c r="BA76" s="309"/>
      <c r="BB76" s="310"/>
      <c r="BC76" s="223" t="e">
        <f t="shared" si="199"/>
        <v>#DIV/0!</v>
      </c>
      <c r="BD76" s="224"/>
      <c r="BE76" s="225" t="e">
        <f t="shared" si="169"/>
        <v>#DIV/0!</v>
      </c>
      <c r="BF76" s="225" t="e">
        <f t="shared" si="170"/>
        <v>#DIV/0!</v>
      </c>
      <c r="BG76" s="225" t="e">
        <f t="shared" si="171"/>
        <v>#DIV/0!</v>
      </c>
      <c r="BH76" s="225" t="e">
        <f t="shared" si="172"/>
        <v>#DIV/0!</v>
      </c>
      <c r="BI76" s="225" t="e">
        <f t="shared" si="173"/>
        <v>#DIV/0!</v>
      </c>
      <c r="BJ76" s="226"/>
      <c r="BK76" s="307"/>
      <c r="BL76" s="307"/>
      <c r="BM76" s="307"/>
      <c r="BN76" s="307"/>
      <c r="BO76" s="307"/>
      <c r="BP76" s="307"/>
      <c r="BQ76" s="307"/>
      <c r="BR76" s="307"/>
      <c r="BS76" s="307"/>
      <c r="BT76" s="307"/>
      <c r="BU76" s="307"/>
      <c r="BV76" s="307"/>
      <c r="BW76" s="307"/>
      <c r="BX76" s="307"/>
      <c r="BY76" s="307"/>
      <c r="BZ76" s="307"/>
      <c r="CA76" s="307"/>
      <c r="CB76" s="307"/>
      <c r="CC76" s="307"/>
      <c r="CD76" s="307"/>
      <c r="CE76" s="307"/>
      <c r="CF76" s="307"/>
      <c r="CG76" s="307"/>
      <c r="CH76" s="307"/>
      <c r="CI76" s="307"/>
      <c r="CJ76" s="307"/>
      <c r="CK76" s="307"/>
      <c r="CL76" s="307"/>
      <c r="CM76" s="307"/>
      <c r="CN76" s="307"/>
      <c r="CO76" s="307"/>
      <c r="CP76" s="307"/>
      <c r="CQ76" s="307"/>
      <c r="CR76" s="307"/>
      <c r="CS76" s="307"/>
      <c r="CT76" s="307"/>
      <c r="CU76" s="307"/>
      <c r="CV76" s="307"/>
      <c r="CW76" s="307"/>
      <c r="CX76" s="307"/>
    </row>
    <row r="77" spans="1:102" s="229" customFormat="1" ht="22.5" hidden="1">
      <c r="A77" s="304">
        <f t="shared" si="180"/>
        <v>74</v>
      </c>
      <c r="B77" s="302"/>
      <c r="C77" s="371"/>
      <c r="D77" s="230"/>
      <c r="E77" s="231" t="s">
        <v>241</v>
      </c>
      <c r="F77" s="232"/>
      <c r="G77" s="305"/>
      <c r="H77" s="233" t="s">
        <v>106</v>
      </c>
      <c r="I77" s="306"/>
      <c r="J77" s="307"/>
      <c r="K77" s="307"/>
      <c r="L77" s="307"/>
      <c r="M77" s="307"/>
      <c r="N77" s="307"/>
      <c r="O77" s="216">
        <f t="shared" si="181"/>
        <v>0</v>
      </c>
      <c r="P77" s="307">
        <f t="shared" si="175"/>
        <v>0</v>
      </c>
      <c r="Q77" s="307"/>
      <c r="R77" s="307"/>
      <c r="S77" s="307"/>
      <c r="T77" s="216">
        <f t="shared" si="182"/>
        <v>0</v>
      </c>
      <c r="U77" s="217">
        <f t="shared" si="183"/>
        <v>0</v>
      </c>
      <c r="V77" s="217">
        <f t="shared" si="184"/>
        <v>0</v>
      </c>
      <c r="W77" s="307">
        <f t="shared" si="185"/>
        <v>0</v>
      </c>
      <c r="X77" s="215"/>
      <c r="Y77" s="215"/>
      <c r="Z77" s="307"/>
      <c r="AA77" s="217">
        <f t="shared" si="186"/>
        <v>0</v>
      </c>
      <c r="AB77" s="217">
        <f t="shared" si="187"/>
        <v>0</v>
      </c>
      <c r="AC77" s="217">
        <f t="shared" si="188"/>
        <v>0</v>
      </c>
      <c r="AD77" s="217">
        <f t="shared" si="189"/>
        <v>0</v>
      </c>
      <c r="AE77" s="217">
        <f t="shared" si="190"/>
        <v>0</v>
      </c>
      <c r="AF77" s="217">
        <f t="shared" si="194"/>
        <v>0</v>
      </c>
      <c r="AG77" s="217">
        <f t="shared" si="195"/>
        <v>0</v>
      </c>
      <c r="AH77" s="217">
        <f t="shared" si="196"/>
        <v>0</v>
      </c>
      <c r="AI77" s="217">
        <f t="shared" si="197"/>
        <v>0</v>
      </c>
      <c r="AJ77" s="217">
        <f t="shared" si="198"/>
        <v>0</v>
      </c>
      <c r="AK77" s="218">
        <f t="shared" si="164"/>
        <v>0</v>
      </c>
      <c r="AL77" s="218">
        <f t="shared" si="158"/>
        <v>0</v>
      </c>
      <c r="AM77" s="218">
        <f t="shared" si="165"/>
        <v>0</v>
      </c>
      <c r="AN77" s="218">
        <f t="shared" si="162"/>
        <v>0</v>
      </c>
      <c r="AO77" s="218">
        <f t="shared" ref="AO77:AO92" si="203">ROUND(18%*(AJ77-AK77+AN77),0)</f>
        <v>0</v>
      </c>
      <c r="AP77" s="219">
        <f t="shared" si="200"/>
        <v>0</v>
      </c>
      <c r="AQ77" s="308">
        <v>4</v>
      </c>
      <c r="AR77" s="308">
        <v>12</v>
      </c>
      <c r="AS77" s="220">
        <v>1</v>
      </c>
      <c r="AT77" s="220">
        <v>12</v>
      </c>
      <c r="AU77" s="221">
        <f t="shared" si="61"/>
        <v>43313</v>
      </c>
      <c r="AV77" s="221">
        <f t="shared" si="62"/>
        <v>43617</v>
      </c>
      <c r="AW77" s="222">
        <f t="shared" si="191"/>
        <v>5.7099999999999998E-2</v>
      </c>
      <c r="AX77" s="222">
        <f t="shared" si="192"/>
        <v>9.64E-2</v>
      </c>
      <c r="AY77" s="219">
        <f t="shared" si="201"/>
        <v>0</v>
      </c>
      <c r="AZ77" s="219">
        <f t="shared" si="202"/>
        <v>0</v>
      </c>
      <c r="BA77" s="309"/>
      <c r="BB77" s="310"/>
      <c r="BC77" s="223" t="e">
        <f t="shared" si="199"/>
        <v>#DIV/0!</v>
      </c>
      <c r="BD77" s="224"/>
      <c r="BE77" s="225" t="e">
        <f t="shared" si="169"/>
        <v>#DIV/0!</v>
      </c>
      <c r="BF77" s="225" t="e">
        <f t="shared" si="170"/>
        <v>#DIV/0!</v>
      </c>
      <c r="BG77" s="225" t="e">
        <f t="shared" si="171"/>
        <v>#DIV/0!</v>
      </c>
      <c r="BH77" s="225" t="e">
        <f t="shared" si="172"/>
        <v>#DIV/0!</v>
      </c>
      <c r="BI77" s="225" t="e">
        <f t="shared" si="173"/>
        <v>#DIV/0!</v>
      </c>
      <c r="BJ77" s="226"/>
      <c r="BK77" s="307"/>
      <c r="BL77" s="307"/>
      <c r="BM77" s="307"/>
      <c r="BN77" s="307"/>
      <c r="BO77" s="307"/>
      <c r="BP77" s="307"/>
      <c r="BQ77" s="307"/>
      <c r="BR77" s="307"/>
      <c r="BS77" s="307"/>
      <c r="BT77" s="307"/>
      <c r="BU77" s="307"/>
      <c r="BV77" s="307"/>
      <c r="BW77" s="307"/>
      <c r="BX77" s="307"/>
      <c r="BY77" s="307"/>
      <c r="BZ77" s="307"/>
      <c r="CA77" s="307"/>
      <c r="CB77" s="307"/>
      <c r="CC77" s="307"/>
      <c r="CD77" s="307"/>
      <c r="CE77" s="307"/>
      <c r="CF77" s="307"/>
      <c r="CG77" s="307"/>
      <c r="CH77" s="307"/>
      <c r="CI77" s="307"/>
      <c r="CJ77" s="307"/>
      <c r="CK77" s="307"/>
      <c r="CL77" s="307"/>
      <c r="CM77" s="307"/>
      <c r="CN77" s="307"/>
      <c r="CO77" s="307"/>
      <c r="CP77" s="307"/>
      <c r="CQ77" s="307"/>
      <c r="CR77" s="307"/>
      <c r="CS77" s="307"/>
      <c r="CT77" s="307"/>
      <c r="CU77" s="307"/>
      <c r="CV77" s="307"/>
      <c r="CW77" s="307"/>
      <c r="CX77" s="307"/>
    </row>
    <row r="78" spans="1:102" s="229" customFormat="1" ht="22.5" hidden="1">
      <c r="A78" s="304">
        <f t="shared" si="180"/>
        <v>75</v>
      </c>
      <c r="B78" s="302"/>
      <c r="C78" s="371"/>
      <c r="D78" s="230"/>
      <c r="E78" s="231" t="s">
        <v>241</v>
      </c>
      <c r="F78" s="232"/>
      <c r="G78" s="305"/>
      <c r="H78" s="233" t="s">
        <v>106</v>
      </c>
      <c r="I78" s="306"/>
      <c r="J78" s="307"/>
      <c r="K78" s="307"/>
      <c r="L78" s="307"/>
      <c r="M78" s="307"/>
      <c r="N78" s="307"/>
      <c r="O78" s="216">
        <f t="shared" si="181"/>
        <v>0</v>
      </c>
      <c r="P78" s="307">
        <f t="shared" si="175"/>
        <v>0</v>
      </c>
      <c r="Q78" s="307"/>
      <c r="R78" s="307"/>
      <c r="S78" s="307"/>
      <c r="T78" s="216">
        <f t="shared" si="182"/>
        <v>0</v>
      </c>
      <c r="U78" s="217">
        <f t="shared" si="183"/>
        <v>0</v>
      </c>
      <c r="V78" s="217">
        <f t="shared" si="184"/>
        <v>0</v>
      </c>
      <c r="W78" s="307">
        <f t="shared" si="185"/>
        <v>0</v>
      </c>
      <c r="X78" s="215"/>
      <c r="Y78" s="215"/>
      <c r="Z78" s="307"/>
      <c r="AA78" s="217">
        <f t="shared" si="186"/>
        <v>0</v>
      </c>
      <c r="AB78" s="217">
        <f t="shared" si="187"/>
        <v>0</v>
      </c>
      <c r="AC78" s="217">
        <f t="shared" si="188"/>
        <v>0</v>
      </c>
      <c r="AD78" s="217">
        <f t="shared" si="189"/>
        <v>0</v>
      </c>
      <c r="AE78" s="217">
        <f t="shared" si="190"/>
        <v>0</v>
      </c>
      <c r="AF78" s="217">
        <f t="shared" si="194"/>
        <v>0</v>
      </c>
      <c r="AG78" s="217">
        <f t="shared" si="195"/>
        <v>0</v>
      </c>
      <c r="AH78" s="217">
        <f t="shared" si="196"/>
        <v>0</v>
      </c>
      <c r="AI78" s="217">
        <f t="shared" si="197"/>
        <v>0</v>
      </c>
      <c r="AJ78" s="217">
        <f t="shared" si="198"/>
        <v>0</v>
      </c>
      <c r="AK78" s="218">
        <f t="shared" ref="AK78:AK92" si="204">AJ78</f>
        <v>0</v>
      </c>
      <c r="AL78" s="218">
        <f t="shared" si="158"/>
        <v>0</v>
      </c>
      <c r="AM78" s="218">
        <f t="shared" si="165"/>
        <v>0</v>
      </c>
      <c r="AN78" s="218">
        <f t="shared" si="162"/>
        <v>0</v>
      </c>
      <c r="AO78" s="218">
        <f t="shared" si="203"/>
        <v>0</v>
      </c>
      <c r="AP78" s="219">
        <f t="shared" si="200"/>
        <v>0</v>
      </c>
      <c r="AQ78" s="308">
        <v>4</v>
      </c>
      <c r="AR78" s="308">
        <v>12</v>
      </c>
      <c r="AS78" s="220">
        <v>1</v>
      </c>
      <c r="AT78" s="220">
        <v>12</v>
      </c>
      <c r="AU78" s="221">
        <f t="shared" si="61"/>
        <v>43313</v>
      </c>
      <c r="AV78" s="221">
        <f t="shared" si="62"/>
        <v>43617</v>
      </c>
      <c r="AW78" s="222">
        <f t="shared" si="191"/>
        <v>5.7099999999999998E-2</v>
      </c>
      <c r="AX78" s="222">
        <f t="shared" si="192"/>
        <v>9.64E-2</v>
      </c>
      <c r="AY78" s="219">
        <f t="shared" si="201"/>
        <v>0</v>
      </c>
      <c r="AZ78" s="219">
        <f t="shared" si="202"/>
        <v>0</v>
      </c>
      <c r="BA78" s="309"/>
      <c r="BB78" s="310"/>
      <c r="BC78" s="223" t="e">
        <f t="shared" si="199"/>
        <v>#DIV/0!</v>
      </c>
      <c r="BD78" s="224"/>
      <c r="BE78" s="225" t="e">
        <f t="shared" si="169"/>
        <v>#DIV/0!</v>
      </c>
      <c r="BF78" s="225" t="e">
        <f t="shared" si="170"/>
        <v>#DIV/0!</v>
      </c>
      <c r="BG78" s="225" t="e">
        <f t="shared" si="171"/>
        <v>#DIV/0!</v>
      </c>
      <c r="BH78" s="225" t="e">
        <f t="shared" si="172"/>
        <v>#DIV/0!</v>
      </c>
      <c r="BI78" s="225" t="e">
        <f t="shared" si="173"/>
        <v>#DIV/0!</v>
      </c>
      <c r="BJ78" s="226"/>
      <c r="BK78" s="307"/>
      <c r="BL78" s="307"/>
      <c r="BM78" s="307"/>
      <c r="BN78" s="307"/>
      <c r="BO78" s="307"/>
      <c r="BP78" s="307"/>
      <c r="BQ78" s="307"/>
      <c r="BR78" s="307"/>
      <c r="BS78" s="307"/>
      <c r="BT78" s="307"/>
      <c r="BU78" s="307"/>
      <c r="BV78" s="307"/>
      <c r="BW78" s="307"/>
      <c r="BX78" s="307"/>
      <c r="BY78" s="307"/>
      <c r="BZ78" s="307"/>
      <c r="CA78" s="307"/>
      <c r="CB78" s="307"/>
      <c r="CC78" s="307"/>
      <c r="CD78" s="307"/>
      <c r="CE78" s="307"/>
      <c r="CF78" s="307"/>
      <c r="CG78" s="307"/>
      <c r="CH78" s="307"/>
      <c r="CI78" s="307"/>
      <c r="CJ78" s="307"/>
      <c r="CK78" s="307"/>
      <c r="CL78" s="307"/>
      <c r="CM78" s="307"/>
      <c r="CN78" s="307"/>
      <c r="CO78" s="307"/>
      <c r="CP78" s="307"/>
      <c r="CQ78" s="307"/>
      <c r="CR78" s="307"/>
      <c r="CS78" s="307"/>
      <c r="CT78" s="307"/>
      <c r="CU78" s="307"/>
      <c r="CV78" s="307"/>
      <c r="CW78" s="307"/>
      <c r="CX78" s="307"/>
    </row>
    <row r="79" spans="1:102" s="229" customFormat="1" ht="22.5" hidden="1">
      <c r="A79" s="304">
        <f t="shared" si="180"/>
        <v>76</v>
      </c>
      <c r="B79" s="302"/>
      <c r="C79" s="371"/>
      <c r="D79" s="230"/>
      <c r="E79" s="231" t="s">
        <v>241</v>
      </c>
      <c r="F79" s="232"/>
      <c r="G79" s="305"/>
      <c r="H79" s="233" t="s">
        <v>106</v>
      </c>
      <c r="I79" s="306"/>
      <c r="J79" s="307"/>
      <c r="K79" s="307"/>
      <c r="L79" s="307"/>
      <c r="M79" s="307"/>
      <c r="N79" s="307"/>
      <c r="O79" s="216">
        <f t="shared" si="181"/>
        <v>0</v>
      </c>
      <c r="P79" s="307">
        <f t="shared" si="175"/>
        <v>0</v>
      </c>
      <c r="Q79" s="307"/>
      <c r="R79" s="307"/>
      <c r="S79" s="307"/>
      <c r="T79" s="216">
        <f t="shared" si="182"/>
        <v>0</v>
      </c>
      <c r="U79" s="217">
        <f t="shared" si="183"/>
        <v>0</v>
      </c>
      <c r="V79" s="217">
        <f t="shared" si="184"/>
        <v>0</v>
      </c>
      <c r="W79" s="307">
        <f t="shared" si="185"/>
        <v>0</v>
      </c>
      <c r="X79" s="215"/>
      <c r="Y79" s="215"/>
      <c r="Z79" s="307"/>
      <c r="AA79" s="217">
        <f t="shared" si="186"/>
        <v>0</v>
      </c>
      <c r="AB79" s="217">
        <f t="shared" si="187"/>
        <v>0</v>
      </c>
      <c r="AC79" s="217">
        <f t="shared" si="188"/>
        <v>0</v>
      </c>
      <c r="AD79" s="217">
        <f t="shared" si="189"/>
        <v>0</v>
      </c>
      <c r="AE79" s="217">
        <f t="shared" si="190"/>
        <v>0</v>
      </c>
      <c r="AF79" s="217">
        <f t="shared" si="194"/>
        <v>0</v>
      </c>
      <c r="AG79" s="217">
        <f t="shared" si="195"/>
        <v>0</v>
      </c>
      <c r="AH79" s="217">
        <f t="shared" si="196"/>
        <v>0</v>
      </c>
      <c r="AI79" s="217">
        <f t="shared" si="197"/>
        <v>0</v>
      </c>
      <c r="AJ79" s="217">
        <f t="shared" si="198"/>
        <v>0</v>
      </c>
      <c r="AK79" s="218">
        <f t="shared" si="204"/>
        <v>0</v>
      </c>
      <c r="AL79" s="218">
        <f t="shared" si="158"/>
        <v>0</v>
      </c>
      <c r="AM79" s="218">
        <f t="shared" ref="AM79:AM92" si="205">ROUND(18%*SUM(AK79,AL79),0)</f>
        <v>0</v>
      </c>
      <c r="AN79" s="218">
        <f t="shared" si="162"/>
        <v>0</v>
      </c>
      <c r="AO79" s="218">
        <f t="shared" si="203"/>
        <v>0</v>
      </c>
      <c r="AP79" s="219">
        <f t="shared" si="200"/>
        <v>0</v>
      </c>
      <c r="AQ79" s="308">
        <v>4</v>
      </c>
      <c r="AR79" s="308">
        <v>12</v>
      </c>
      <c r="AS79" s="220">
        <v>1</v>
      </c>
      <c r="AT79" s="220">
        <v>12</v>
      </c>
      <c r="AU79" s="221">
        <f t="shared" si="61"/>
        <v>43313</v>
      </c>
      <c r="AV79" s="221">
        <f t="shared" si="62"/>
        <v>43617</v>
      </c>
      <c r="AW79" s="222">
        <f t="shared" si="191"/>
        <v>5.7099999999999998E-2</v>
      </c>
      <c r="AX79" s="222">
        <f t="shared" si="192"/>
        <v>9.64E-2</v>
      </c>
      <c r="AY79" s="219">
        <f t="shared" si="201"/>
        <v>0</v>
      </c>
      <c r="AZ79" s="219">
        <f t="shared" si="202"/>
        <v>0</v>
      </c>
      <c r="BA79" s="309"/>
      <c r="BB79" s="310"/>
      <c r="BC79" s="223" t="e">
        <f t="shared" si="199"/>
        <v>#DIV/0!</v>
      </c>
      <c r="BD79" s="224"/>
      <c r="BE79" s="225" t="e">
        <f t="shared" si="169"/>
        <v>#DIV/0!</v>
      </c>
      <c r="BF79" s="225" t="e">
        <f t="shared" si="170"/>
        <v>#DIV/0!</v>
      </c>
      <c r="BG79" s="225" t="e">
        <f t="shared" si="171"/>
        <v>#DIV/0!</v>
      </c>
      <c r="BH79" s="225" t="e">
        <f t="shared" si="172"/>
        <v>#DIV/0!</v>
      </c>
      <c r="BI79" s="225" t="e">
        <f t="shared" si="173"/>
        <v>#DIV/0!</v>
      </c>
      <c r="BJ79" s="226"/>
      <c r="BK79" s="307"/>
      <c r="BL79" s="307"/>
      <c r="BM79" s="307"/>
      <c r="BN79" s="307"/>
      <c r="BO79" s="307"/>
      <c r="BP79" s="307"/>
      <c r="BQ79" s="307"/>
      <c r="BR79" s="307"/>
      <c r="BS79" s="307"/>
      <c r="BT79" s="307"/>
      <c r="BU79" s="307"/>
      <c r="BV79" s="307"/>
      <c r="BW79" s="307"/>
      <c r="BX79" s="307"/>
      <c r="BY79" s="307"/>
      <c r="BZ79" s="307"/>
      <c r="CA79" s="307"/>
      <c r="CB79" s="307"/>
      <c r="CC79" s="307"/>
      <c r="CD79" s="307"/>
      <c r="CE79" s="307"/>
      <c r="CF79" s="307"/>
      <c r="CG79" s="307"/>
      <c r="CH79" s="307"/>
      <c r="CI79" s="307"/>
      <c r="CJ79" s="307"/>
      <c r="CK79" s="307"/>
      <c r="CL79" s="307"/>
      <c r="CM79" s="307"/>
      <c r="CN79" s="307"/>
      <c r="CO79" s="307"/>
      <c r="CP79" s="307"/>
      <c r="CQ79" s="307"/>
      <c r="CR79" s="307"/>
      <c r="CS79" s="307"/>
      <c r="CT79" s="307"/>
      <c r="CU79" s="307"/>
      <c r="CV79" s="307"/>
      <c r="CW79" s="307"/>
      <c r="CX79" s="307"/>
    </row>
    <row r="80" spans="1:102" s="229" customFormat="1" ht="22.5" hidden="1">
      <c r="A80" s="304">
        <f t="shared" si="180"/>
        <v>77</v>
      </c>
      <c r="B80" s="302"/>
      <c r="C80" s="371"/>
      <c r="D80" s="230"/>
      <c r="E80" s="231" t="s">
        <v>241</v>
      </c>
      <c r="F80" s="232"/>
      <c r="G80" s="305"/>
      <c r="H80" s="233" t="s">
        <v>106</v>
      </c>
      <c r="I80" s="306"/>
      <c r="J80" s="307"/>
      <c r="K80" s="307"/>
      <c r="L80" s="307"/>
      <c r="M80" s="307"/>
      <c r="N80" s="307"/>
      <c r="O80" s="216">
        <f t="shared" si="181"/>
        <v>0</v>
      </c>
      <c r="P80" s="307">
        <f t="shared" si="175"/>
        <v>0</v>
      </c>
      <c r="Q80" s="307"/>
      <c r="R80" s="307"/>
      <c r="S80" s="307"/>
      <c r="T80" s="216">
        <f t="shared" si="182"/>
        <v>0</v>
      </c>
      <c r="U80" s="217">
        <f t="shared" si="183"/>
        <v>0</v>
      </c>
      <c r="V80" s="217">
        <f t="shared" si="184"/>
        <v>0</v>
      </c>
      <c r="W80" s="307">
        <f t="shared" si="185"/>
        <v>0</v>
      </c>
      <c r="X80" s="215"/>
      <c r="Y80" s="215"/>
      <c r="Z80" s="307"/>
      <c r="AA80" s="217">
        <f t="shared" si="186"/>
        <v>0</v>
      </c>
      <c r="AB80" s="217">
        <f t="shared" si="187"/>
        <v>0</v>
      </c>
      <c r="AC80" s="217">
        <f t="shared" si="188"/>
        <v>0</v>
      </c>
      <c r="AD80" s="217">
        <f t="shared" si="189"/>
        <v>0</v>
      </c>
      <c r="AE80" s="217">
        <f t="shared" si="190"/>
        <v>0</v>
      </c>
      <c r="AF80" s="217">
        <f t="shared" si="194"/>
        <v>0</v>
      </c>
      <c r="AG80" s="217">
        <f t="shared" si="195"/>
        <v>0</v>
      </c>
      <c r="AH80" s="217">
        <f t="shared" si="196"/>
        <v>0</v>
      </c>
      <c r="AI80" s="217">
        <f t="shared" si="197"/>
        <v>0</v>
      </c>
      <c r="AJ80" s="217">
        <f t="shared" ref="AJ80:AJ92" si="206">SUM(AF80:AI80)</f>
        <v>0</v>
      </c>
      <c r="AK80" s="218">
        <f t="shared" si="204"/>
        <v>0</v>
      </c>
      <c r="AL80" s="218">
        <f t="shared" si="158"/>
        <v>0</v>
      </c>
      <c r="AM80" s="218">
        <f t="shared" si="205"/>
        <v>0</v>
      </c>
      <c r="AN80" s="218">
        <f t="shared" si="162"/>
        <v>0</v>
      </c>
      <c r="AO80" s="218">
        <f t="shared" si="203"/>
        <v>0</v>
      </c>
      <c r="AP80" s="219">
        <f t="shared" si="200"/>
        <v>0</v>
      </c>
      <c r="AQ80" s="308">
        <v>4</v>
      </c>
      <c r="AR80" s="308">
        <v>12</v>
      </c>
      <c r="AS80" s="220">
        <v>1</v>
      </c>
      <c r="AT80" s="220">
        <v>12</v>
      </c>
      <c r="AU80" s="221">
        <f t="shared" si="61"/>
        <v>43313</v>
      </c>
      <c r="AV80" s="221">
        <f t="shared" si="62"/>
        <v>43617</v>
      </c>
      <c r="AW80" s="222">
        <f t="shared" si="191"/>
        <v>5.7099999999999998E-2</v>
      </c>
      <c r="AX80" s="222">
        <f t="shared" si="192"/>
        <v>9.64E-2</v>
      </c>
      <c r="AY80" s="219">
        <f t="shared" si="201"/>
        <v>0</v>
      </c>
      <c r="AZ80" s="219">
        <f t="shared" si="202"/>
        <v>0</v>
      </c>
      <c r="BA80" s="309"/>
      <c r="BB80" s="310"/>
      <c r="BC80" s="223" t="e">
        <f t="shared" si="199"/>
        <v>#DIV/0!</v>
      </c>
      <c r="BD80" s="224"/>
      <c r="BE80" s="225" t="e">
        <f t="shared" si="169"/>
        <v>#DIV/0!</v>
      </c>
      <c r="BF80" s="225" t="e">
        <f t="shared" si="170"/>
        <v>#DIV/0!</v>
      </c>
      <c r="BG80" s="225" t="e">
        <f t="shared" si="171"/>
        <v>#DIV/0!</v>
      </c>
      <c r="BH80" s="225" t="e">
        <f t="shared" si="172"/>
        <v>#DIV/0!</v>
      </c>
      <c r="BI80" s="225" t="e">
        <f t="shared" si="173"/>
        <v>#DIV/0!</v>
      </c>
      <c r="BJ80" s="226"/>
      <c r="BK80" s="307"/>
      <c r="BL80" s="307"/>
      <c r="BM80" s="307"/>
      <c r="BN80" s="307"/>
      <c r="BO80" s="307"/>
      <c r="BP80" s="307"/>
      <c r="BQ80" s="307"/>
      <c r="BR80" s="307"/>
      <c r="BS80" s="307"/>
      <c r="BT80" s="307"/>
      <c r="BU80" s="307"/>
      <c r="BV80" s="307"/>
      <c r="BW80" s="307"/>
      <c r="BX80" s="307"/>
      <c r="BY80" s="307"/>
      <c r="BZ80" s="307"/>
      <c r="CA80" s="307"/>
      <c r="CB80" s="307"/>
      <c r="CC80" s="307"/>
      <c r="CD80" s="307"/>
      <c r="CE80" s="307"/>
      <c r="CF80" s="307"/>
      <c r="CG80" s="307"/>
      <c r="CH80" s="307"/>
      <c r="CI80" s="307"/>
      <c r="CJ80" s="307"/>
      <c r="CK80" s="307"/>
      <c r="CL80" s="307"/>
      <c r="CM80" s="307"/>
      <c r="CN80" s="307"/>
      <c r="CO80" s="307"/>
      <c r="CP80" s="307"/>
      <c r="CQ80" s="307"/>
      <c r="CR80" s="307"/>
      <c r="CS80" s="307"/>
      <c r="CT80" s="307"/>
      <c r="CU80" s="307"/>
      <c r="CV80" s="307"/>
      <c r="CW80" s="307"/>
      <c r="CX80" s="307"/>
    </row>
    <row r="81" spans="1:102" s="229" customFormat="1" ht="22.5" hidden="1">
      <c r="A81" s="304">
        <f t="shared" si="180"/>
        <v>78</v>
      </c>
      <c r="B81" s="302"/>
      <c r="C81" s="371"/>
      <c r="D81" s="230"/>
      <c r="E81" s="231" t="s">
        <v>241</v>
      </c>
      <c r="F81" s="232"/>
      <c r="G81" s="305"/>
      <c r="H81" s="233" t="s">
        <v>106</v>
      </c>
      <c r="I81" s="306"/>
      <c r="J81" s="307"/>
      <c r="K81" s="307"/>
      <c r="L81" s="307"/>
      <c r="M81" s="307"/>
      <c r="N81" s="307"/>
      <c r="O81" s="216">
        <f t="shared" si="181"/>
        <v>0</v>
      </c>
      <c r="P81" s="307">
        <f t="shared" si="175"/>
        <v>0</v>
      </c>
      <c r="Q81" s="307"/>
      <c r="R81" s="307"/>
      <c r="S81" s="307"/>
      <c r="T81" s="216">
        <f t="shared" si="182"/>
        <v>0</v>
      </c>
      <c r="U81" s="217">
        <f t="shared" si="183"/>
        <v>0</v>
      </c>
      <c r="V81" s="217">
        <f t="shared" si="184"/>
        <v>0</v>
      </c>
      <c r="W81" s="307">
        <f t="shared" si="185"/>
        <v>0</v>
      </c>
      <c r="X81" s="215"/>
      <c r="Y81" s="215"/>
      <c r="Z81" s="307"/>
      <c r="AA81" s="217">
        <f t="shared" si="186"/>
        <v>0</v>
      </c>
      <c r="AB81" s="217">
        <f t="shared" si="187"/>
        <v>0</v>
      </c>
      <c r="AC81" s="217">
        <f t="shared" si="188"/>
        <v>0</v>
      </c>
      <c r="AD81" s="217">
        <f t="shared" si="189"/>
        <v>0</v>
      </c>
      <c r="AE81" s="217">
        <f t="shared" si="190"/>
        <v>0</v>
      </c>
      <c r="AF81" s="217">
        <f t="shared" si="194"/>
        <v>0</v>
      </c>
      <c r="AG81" s="217">
        <f t="shared" si="195"/>
        <v>0</v>
      </c>
      <c r="AH81" s="217">
        <f t="shared" si="196"/>
        <v>0</v>
      </c>
      <c r="AI81" s="217">
        <f t="shared" si="197"/>
        <v>0</v>
      </c>
      <c r="AJ81" s="217">
        <f t="shared" si="206"/>
        <v>0</v>
      </c>
      <c r="AK81" s="218">
        <f t="shared" si="204"/>
        <v>0</v>
      </c>
      <c r="AL81" s="218">
        <f t="shared" si="158"/>
        <v>0</v>
      </c>
      <c r="AM81" s="218">
        <f t="shared" si="205"/>
        <v>0</v>
      </c>
      <c r="AN81" s="218">
        <f t="shared" si="162"/>
        <v>0</v>
      </c>
      <c r="AO81" s="218">
        <f t="shared" si="203"/>
        <v>0</v>
      </c>
      <c r="AP81" s="219">
        <f t="shared" si="200"/>
        <v>0</v>
      </c>
      <c r="AQ81" s="308">
        <v>4</v>
      </c>
      <c r="AR81" s="308">
        <v>12</v>
      </c>
      <c r="AS81" s="220">
        <v>1</v>
      </c>
      <c r="AT81" s="220">
        <v>12</v>
      </c>
      <c r="AU81" s="221">
        <f t="shared" si="61"/>
        <v>43313</v>
      </c>
      <c r="AV81" s="221">
        <f t="shared" si="62"/>
        <v>43617</v>
      </c>
      <c r="AW81" s="222">
        <f t="shared" si="191"/>
        <v>5.7099999999999998E-2</v>
      </c>
      <c r="AX81" s="222">
        <f t="shared" si="192"/>
        <v>9.64E-2</v>
      </c>
      <c r="AY81" s="219">
        <f t="shared" si="201"/>
        <v>0</v>
      </c>
      <c r="AZ81" s="219">
        <f t="shared" si="202"/>
        <v>0</v>
      </c>
      <c r="BA81" s="309"/>
      <c r="BB81" s="310"/>
      <c r="BC81" s="223" t="e">
        <f t="shared" si="199"/>
        <v>#DIV/0!</v>
      </c>
      <c r="BD81" s="224"/>
      <c r="BE81" s="225" t="e">
        <f t="shared" si="169"/>
        <v>#DIV/0!</v>
      </c>
      <c r="BF81" s="225" t="e">
        <f t="shared" si="170"/>
        <v>#DIV/0!</v>
      </c>
      <c r="BG81" s="225" t="e">
        <f t="shared" si="171"/>
        <v>#DIV/0!</v>
      </c>
      <c r="BH81" s="225" t="e">
        <f t="shared" si="172"/>
        <v>#DIV/0!</v>
      </c>
      <c r="BI81" s="225" t="e">
        <f t="shared" si="173"/>
        <v>#DIV/0!</v>
      </c>
      <c r="BJ81" s="226"/>
      <c r="BK81" s="307"/>
      <c r="BL81" s="307"/>
      <c r="BM81" s="307"/>
      <c r="BN81" s="307"/>
      <c r="BO81" s="307"/>
      <c r="BP81" s="307"/>
      <c r="BQ81" s="307"/>
      <c r="BR81" s="307"/>
      <c r="BS81" s="307"/>
      <c r="BT81" s="307"/>
      <c r="BU81" s="307"/>
      <c r="BV81" s="307"/>
      <c r="BW81" s="307"/>
      <c r="BX81" s="307"/>
      <c r="BY81" s="307"/>
      <c r="BZ81" s="307"/>
      <c r="CA81" s="307"/>
      <c r="CB81" s="307"/>
      <c r="CC81" s="307"/>
      <c r="CD81" s="307"/>
      <c r="CE81" s="307"/>
      <c r="CF81" s="307"/>
      <c r="CG81" s="307"/>
      <c r="CH81" s="307"/>
      <c r="CI81" s="307"/>
      <c r="CJ81" s="307"/>
      <c r="CK81" s="307"/>
      <c r="CL81" s="307"/>
      <c r="CM81" s="307"/>
      <c r="CN81" s="307"/>
      <c r="CO81" s="307"/>
      <c r="CP81" s="307"/>
      <c r="CQ81" s="307"/>
      <c r="CR81" s="307"/>
      <c r="CS81" s="307"/>
      <c r="CT81" s="307"/>
      <c r="CU81" s="307"/>
      <c r="CV81" s="307"/>
      <c r="CW81" s="307"/>
      <c r="CX81" s="307"/>
    </row>
    <row r="82" spans="1:102" s="229" customFormat="1" ht="22.5" hidden="1">
      <c r="A82" s="304">
        <f t="shared" si="180"/>
        <v>79</v>
      </c>
      <c r="B82" s="302"/>
      <c r="C82" s="371"/>
      <c r="D82" s="230"/>
      <c r="E82" s="231" t="s">
        <v>241</v>
      </c>
      <c r="F82" s="232"/>
      <c r="G82" s="305"/>
      <c r="H82" s="233" t="s">
        <v>106</v>
      </c>
      <c r="I82" s="306"/>
      <c r="J82" s="307"/>
      <c r="K82" s="307"/>
      <c r="L82" s="307"/>
      <c r="M82" s="307"/>
      <c r="N82" s="307"/>
      <c r="O82" s="216">
        <f t="shared" si="181"/>
        <v>0</v>
      </c>
      <c r="P82" s="307">
        <f t="shared" si="175"/>
        <v>0</v>
      </c>
      <c r="Q82" s="307"/>
      <c r="R82" s="307"/>
      <c r="S82" s="307"/>
      <c r="T82" s="216">
        <f t="shared" si="182"/>
        <v>0</v>
      </c>
      <c r="U82" s="217">
        <f t="shared" si="183"/>
        <v>0</v>
      </c>
      <c r="V82" s="217">
        <f t="shared" si="184"/>
        <v>0</v>
      </c>
      <c r="W82" s="307">
        <f t="shared" si="185"/>
        <v>0</v>
      </c>
      <c r="X82" s="215"/>
      <c r="Y82" s="215"/>
      <c r="Z82" s="307"/>
      <c r="AA82" s="217">
        <f t="shared" si="186"/>
        <v>0</v>
      </c>
      <c r="AB82" s="217">
        <f t="shared" si="187"/>
        <v>0</v>
      </c>
      <c r="AC82" s="217">
        <f t="shared" si="188"/>
        <v>0</v>
      </c>
      <c r="AD82" s="217">
        <f t="shared" si="189"/>
        <v>0</v>
      </c>
      <c r="AE82" s="217">
        <f t="shared" si="190"/>
        <v>0</v>
      </c>
      <c r="AF82" s="217">
        <f t="shared" si="194"/>
        <v>0</v>
      </c>
      <c r="AG82" s="217">
        <f t="shared" si="195"/>
        <v>0</v>
      </c>
      <c r="AH82" s="217">
        <f t="shared" si="196"/>
        <v>0</v>
      </c>
      <c r="AI82" s="217">
        <f t="shared" si="197"/>
        <v>0</v>
      </c>
      <c r="AJ82" s="217">
        <f t="shared" si="206"/>
        <v>0</v>
      </c>
      <c r="AK82" s="218">
        <f t="shared" si="204"/>
        <v>0</v>
      </c>
      <c r="AL82" s="218">
        <f t="shared" si="158"/>
        <v>0</v>
      </c>
      <c r="AM82" s="218">
        <f t="shared" si="205"/>
        <v>0</v>
      </c>
      <c r="AN82" s="218">
        <f t="shared" si="162"/>
        <v>0</v>
      </c>
      <c r="AO82" s="218">
        <f t="shared" si="203"/>
        <v>0</v>
      </c>
      <c r="AP82" s="219">
        <f t="shared" si="200"/>
        <v>0</v>
      </c>
      <c r="AQ82" s="308">
        <v>4</v>
      </c>
      <c r="AR82" s="308">
        <v>12</v>
      </c>
      <c r="AS82" s="220">
        <v>1</v>
      </c>
      <c r="AT82" s="220">
        <v>12</v>
      </c>
      <c r="AU82" s="221">
        <f t="shared" si="61"/>
        <v>43313</v>
      </c>
      <c r="AV82" s="221">
        <f t="shared" si="62"/>
        <v>43617</v>
      </c>
      <c r="AW82" s="222">
        <f t="shared" si="191"/>
        <v>5.7099999999999998E-2</v>
      </c>
      <c r="AX82" s="222">
        <f t="shared" si="192"/>
        <v>9.64E-2</v>
      </c>
      <c r="AY82" s="219">
        <f t="shared" si="201"/>
        <v>0</v>
      </c>
      <c r="AZ82" s="219">
        <f t="shared" si="202"/>
        <v>0</v>
      </c>
      <c r="BA82" s="309"/>
      <c r="BB82" s="310"/>
      <c r="BC82" s="223" t="e">
        <f t="shared" si="199"/>
        <v>#DIV/0!</v>
      </c>
      <c r="BD82" s="224"/>
      <c r="BE82" s="225" t="e">
        <f t="shared" si="169"/>
        <v>#DIV/0!</v>
      </c>
      <c r="BF82" s="225" t="e">
        <f t="shared" si="170"/>
        <v>#DIV/0!</v>
      </c>
      <c r="BG82" s="225" t="e">
        <f t="shared" si="171"/>
        <v>#DIV/0!</v>
      </c>
      <c r="BH82" s="225" t="e">
        <f t="shared" si="172"/>
        <v>#DIV/0!</v>
      </c>
      <c r="BI82" s="225" t="e">
        <f t="shared" si="173"/>
        <v>#DIV/0!</v>
      </c>
      <c r="BJ82" s="226"/>
      <c r="BK82" s="307"/>
      <c r="BL82" s="307"/>
      <c r="BM82" s="307"/>
      <c r="BN82" s="307"/>
      <c r="BO82" s="307"/>
      <c r="BP82" s="307"/>
      <c r="BQ82" s="307"/>
      <c r="BR82" s="307"/>
      <c r="BS82" s="307"/>
      <c r="BT82" s="307"/>
      <c r="BU82" s="307"/>
      <c r="BV82" s="307"/>
      <c r="BW82" s="307"/>
      <c r="BX82" s="307"/>
      <c r="BY82" s="307"/>
      <c r="BZ82" s="307"/>
      <c r="CA82" s="307"/>
      <c r="CB82" s="307"/>
      <c r="CC82" s="307"/>
      <c r="CD82" s="307"/>
      <c r="CE82" s="307"/>
      <c r="CF82" s="307"/>
      <c r="CG82" s="307"/>
      <c r="CH82" s="307"/>
      <c r="CI82" s="307"/>
      <c r="CJ82" s="307"/>
      <c r="CK82" s="307"/>
      <c r="CL82" s="307"/>
      <c r="CM82" s="307"/>
      <c r="CN82" s="307"/>
      <c r="CO82" s="307"/>
      <c r="CP82" s="307"/>
      <c r="CQ82" s="307"/>
      <c r="CR82" s="307"/>
      <c r="CS82" s="307"/>
      <c r="CT82" s="307"/>
      <c r="CU82" s="307"/>
      <c r="CV82" s="307"/>
      <c r="CW82" s="307"/>
      <c r="CX82" s="307"/>
    </row>
    <row r="83" spans="1:102" s="229" customFormat="1" ht="22.5" hidden="1">
      <c r="A83" s="304">
        <f t="shared" si="180"/>
        <v>80</v>
      </c>
      <c r="B83" s="302"/>
      <c r="C83" s="371"/>
      <c r="D83" s="230"/>
      <c r="E83" s="231" t="s">
        <v>241</v>
      </c>
      <c r="F83" s="232"/>
      <c r="G83" s="305"/>
      <c r="H83" s="233" t="s">
        <v>106</v>
      </c>
      <c r="I83" s="306"/>
      <c r="J83" s="307"/>
      <c r="K83" s="307"/>
      <c r="L83" s="307"/>
      <c r="M83" s="307"/>
      <c r="N83" s="307"/>
      <c r="O83" s="216">
        <f t="shared" si="181"/>
        <v>0</v>
      </c>
      <c r="P83" s="307">
        <f t="shared" si="175"/>
        <v>0</v>
      </c>
      <c r="Q83" s="307"/>
      <c r="R83" s="307"/>
      <c r="S83" s="307"/>
      <c r="T83" s="216">
        <f t="shared" si="182"/>
        <v>0</v>
      </c>
      <c r="U83" s="217">
        <f t="shared" si="183"/>
        <v>0</v>
      </c>
      <c r="V83" s="217">
        <f t="shared" si="184"/>
        <v>0</v>
      </c>
      <c r="W83" s="307">
        <f t="shared" si="185"/>
        <v>0</v>
      </c>
      <c r="X83" s="215"/>
      <c r="Y83" s="215"/>
      <c r="Z83" s="307"/>
      <c r="AA83" s="217">
        <f t="shared" si="186"/>
        <v>0</v>
      </c>
      <c r="AB83" s="217">
        <f t="shared" si="187"/>
        <v>0</v>
      </c>
      <c r="AC83" s="217">
        <f t="shared" si="188"/>
        <v>0</v>
      </c>
      <c r="AD83" s="217">
        <f t="shared" si="189"/>
        <v>0</v>
      </c>
      <c r="AE83" s="217">
        <f t="shared" si="190"/>
        <v>0</v>
      </c>
      <c r="AF83" s="217">
        <f t="shared" si="194"/>
        <v>0</v>
      </c>
      <c r="AG83" s="217">
        <f t="shared" si="195"/>
        <v>0</v>
      </c>
      <c r="AH83" s="217">
        <f t="shared" si="196"/>
        <v>0</v>
      </c>
      <c r="AI83" s="217">
        <f t="shared" si="197"/>
        <v>0</v>
      </c>
      <c r="AJ83" s="217">
        <f t="shared" si="206"/>
        <v>0</v>
      </c>
      <c r="AK83" s="218">
        <f t="shared" si="204"/>
        <v>0</v>
      </c>
      <c r="AL83" s="218">
        <f t="shared" si="158"/>
        <v>0</v>
      </c>
      <c r="AM83" s="218">
        <f t="shared" si="205"/>
        <v>0</v>
      </c>
      <c r="AN83" s="218">
        <f t="shared" si="162"/>
        <v>0</v>
      </c>
      <c r="AO83" s="218">
        <f t="shared" si="203"/>
        <v>0</v>
      </c>
      <c r="AP83" s="219">
        <f t="shared" si="200"/>
        <v>0</v>
      </c>
      <c r="AQ83" s="308">
        <v>4</v>
      </c>
      <c r="AR83" s="308">
        <v>12</v>
      </c>
      <c r="AS83" s="220">
        <v>1</v>
      </c>
      <c r="AT83" s="220">
        <v>12</v>
      </c>
      <c r="AU83" s="221">
        <f t="shared" si="61"/>
        <v>43313</v>
      </c>
      <c r="AV83" s="221">
        <f t="shared" si="62"/>
        <v>43617</v>
      </c>
      <c r="AW83" s="222">
        <f t="shared" si="191"/>
        <v>5.7099999999999998E-2</v>
      </c>
      <c r="AX83" s="222">
        <f t="shared" si="192"/>
        <v>9.64E-2</v>
      </c>
      <c r="AY83" s="219">
        <f t="shared" si="201"/>
        <v>0</v>
      </c>
      <c r="AZ83" s="219">
        <f t="shared" si="202"/>
        <v>0</v>
      </c>
      <c r="BA83" s="309"/>
      <c r="BB83" s="310"/>
      <c r="BC83" s="223" t="e">
        <f t="shared" si="199"/>
        <v>#DIV/0!</v>
      </c>
      <c r="BD83" s="224"/>
      <c r="BE83" s="225" t="e">
        <f t="shared" si="169"/>
        <v>#DIV/0!</v>
      </c>
      <c r="BF83" s="225" t="e">
        <f t="shared" si="170"/>
        <v>#DIV/0!</v>
      </c>
      <c r="BG83" s="225" t="e">
        <f t="shared" si="171"/>
        <v>#DIV/0!</v>
      </c>
      <c r="BH83" s="225" t="e">
        <f t="shared" si="172"/>
        <v>#DIV/0!</v>
      </c>
      <c r="BI83" s="225" t="e">
        <f t="shared" si="173"/>
        <v>#DIV/0!</v>
      </c>
      <c r="BJ83" s="226"/>
      <c r="BK83" s="307"/>
      <c r="BL83" s="307"/>
      <c r="BM83" s="307"/>
      <c r="BN83" s="307"/>
      <c r="BO83" s="307"/>
      <c r="BP83" s="307"/>
      <c r="BQ83" s="307"/>
      <c r="BR83" s="307"/>
      <c r="BS83" s="307"/>
      <c r="BT83" s="307"/>
      <c r="BU83" s="307"/>
      <c r="BV83" s="307"/>
      <c r="BW83" s="307"/>
      <c r="BX83" s="307"/>
      <c r="BY83" s="307"/>
      <c r="BZ83" s="307"/>
      <c r="CA83" s="307"/>
      <c r="CB83" s="307"/>
      <c r="CC83" s="307"/>
      <c r="CD83" s="307"/>
      <c r="CE83" s="307"/>
      <c r="CF83" s="307"/>
      <c r="CG83" s="307"/>
      <c r="CH83" s="307"/>
      <c r="CI83" s="307"/>
      <c r="CJ83" s="307"/>
      <c r="CK83" s="307"/>
      <c r="CL83" s="307"/>
      <c r="CM83" s="307"/>
      <c r="CN83" s="307"/>
      <c r="CO83" s="307"/>
      <c r="CP83" s="307"/>
      <c r="CQ83" s="307"/>
      <c r="CR83" s="307"/>
      <c r="CS83" s="307"/>
      <c r="CT83" s="307"/>
      <c r="CU83" s="307"/>
      <c r="CV83" s="307"/>
      <c r="CW83" s="307"/>
      <c r="CX83" s="307"/>
    </row>
    <row r="84" spans="1:102" s="229" customFormat="1" ht="22.5" hidden="1">
      <c r="A84" s="304">
        <f t="shared" si="180"/>
        <v>81</v>
      </c>
      <c r="B84" s="302"/>
      <c r="C84" s="371"/>
      <c r="D84" s="230"/>
      <c r="E84" s="231" t="s">
        <v>241</v>
      </c>
      <c r="F84" s="232"/>
      <c r="G84" s="305"/>
      <c r="H84" s="233" t="s">
        <v>106</v>
      </c>
      <c r="I84" s="306"/>
      <c r="J84" s="307"/>
      <c r="K84" s="307"/>
      <c r="L84" s="307"/>
      <c r="M84" s="307"/>
      <c r="N84" s="307"/>
      <c r="O84" s="216">
        <f t="shared" si="181"/>
        <v>0</v>
      </c>
      <c r="P84" s="307">
        <f t="shared" si="175"/>
        <v>0</v>
      </c>
      <c r="Q84" s="307"/>
      <c r="R84" s="307"/>
      <c r="S84" s="307"/>
      <c r="T84" s="216">
        <f t="shared" si="182"/>
        <v>0</v>
      </c>
      <c r="U84" s="217">
        <f t="shared" si="183"/>
        <v>0</v>
      </c>
      <c r="V84" s="217">
        <f t="shared" si="184"/>
        <v>0</v>
      </c>
      <c r="W84" s="307">
        <f t="shared" si="185"/>
        <v>0</v>
      </c>
      <c r="X84" s="215"/>
      <c r="Y84" s="215"/>
      <c r="Z84" s="307"/>
      <c r="AA84" s="217">
        <f t="shared" si="186"/>
        <v>0</v>
      </c>
      <c r="AB84" s="217">
        <f t="shared" si="187"/>
        <v>0</v>
      </c>
      <c r="AC84" s="217">
        <f t="shared" si="188"/>
        <v>0</v>
      </c>
      <c r="AD84" s="217">
        <f t="shared" si="189"/>
        <v>0</v>
      </c>
      <c r="AE84" s="217">
        <f t="shared" si="190"/>
        <v>0</v>
      </c>
      <c r="AF84" s="217">
        <f t="shared" si="194"/>
        <v>0</v>
      </c>
      <c r="AG84" s="217">
        <f t="shared" si="195"/>
        <v>0</v>
      </c>
      <c r="AH84" s="217">
        <f t="shared" si="196"/>
        <v>0</v>
      </c>
      <c r="AI84" s="217">
        <f t="shared" si="197"/>
        <v>0</v>
      </c>
      <c r="AJ84" s="217">
        <f t="shared" si="206"/>
        <v>0</v>
      </c>
      <c r="AK84" s="218">
        <f t="shared" si="204"/>
        <v>0</v>
      </c>
      <c r="AL84" s="218">
        <f t="shared" si="158"/>
        <v>0</v>
      </c>
      <c r="AM84" s="218">
        <f t="shared" si="205"/>
        <v>0</v>
      </c>
      <c r="AN84" s="218">
        <f t="shared" si="162"/>
        <v>0</v>
      </c>
      <c r="AO84" s="218">
        <f t="shared" si="203"/>
        <v>0</v>
      </c>
      <c r="AP84" s="219">
        <f t="shared" si="200"/>
        <v>0</v>
      </c>
      <c r="AQ84" s="308">
        <v>4</v>
      </c>
      <c r="AR84" s="308">
        <v>12</v>
      </c>
      <c r="AS84" s="220">
        <v>1</v>
      </c>
      <c r="AT84" s="220">
        <v>12</v>
      </c>
      <c r="AU84" s="221">
        <f t="shared" si="61"/>
        <v>43313</v>
      </c>
      <c r="AV84" s="221">
        <f t="shared" si="62"/>
        <v>43617</v>
      </c>
      <c r="AW84" s="222">
        <f t="shared" si="191"/>
        <v>5.7099999999999998E-2</v>
      </c>
      <c r="AX84" s="222">
        <f t="shared" si="192"/>
        <v>9.64E-2</v>
      </c>
      <c r="AY84" s="219">
        <f t="shared" si="201"/>
        <v>0</v>
      </c>
      <c r="AZ84" s="219">
        <f t="shared" si="202"/>
        <v>0</v>
      </c>
      <c r="BA84" s="309"/>
      <c r="BB84" s="310"/>
      <c r="BC84" s="223" t="e">
        <f t="shared" si="199"/>
        <v>#DIV/0!</v>
      </c>
      <c r="BD84" s="224"/>
      <c r="BE84" s="225" t="e">
        <f t="shared" si="169"/>
        <v>#DIV/0!</v>
      </c>
      <c r="BF84" s="225" t="e">
        <f t="shared" si="170"/>
        <v>#DIV/0!</v>
      </c>
      <c r="BG84" s="225" t="e">
        <f t="shared" si="171"/>
        <v>#DIV/0!</v>
      </c>
      <c r="BH84" s="225" t="e">
        <f t="shared" si="172"/>
        <v>#DIV/0!</v>
      </c>
      <c r="BI84" s="225" t="e">
        <f t="shared" si="173"/>
        <v>#DIV/0!</v>
      </c>
      <c r="BJ84" s="226"/>
      <c r="BK84" s="307"/>
      <c r="BL84" s="307"/>
      <c r="BM84" s="307"/>
      <c r="BN84" s="307"/>
      <c r="BO84" s="307"/>
      <c r="BP84" s="307"/>
      <c r="BQ84" s="307"/>
      <c r="BR84" s="307"/>
      <c r="BS84" s="307"/>
      <c r="BT84" s="307"/>
      <c r="BU84" s="307"/>
      <c r="BV84" s="307"/>
      <c r="BW84" s="307"/>
      <c r="BX84" s="307"/>
      <c r="BY84" s="307"/>
      <c r="BZ84" s="307"/>
      <c r="CA84" s="307"/>
      <c r="CB84" s="307"/>
      <c r="CC84" s="307"/>
      <c r="CD84" s="307"/>
      <c r="CE84" s="307"/>
      <c r="CF84" s="307"/>
      <c r="CG84" s="307"/>
      <c r="CH84" s="307"/>
      <c r="CI84" s="307"/>
      <c r="CJ84" s="307"/>
      <c r="CK84" s="307"/>
      <c r="CL84" s="307"/>
      <c r="CM84" s="307"/>
      <c r="CN84" s="307"/>
      <c r="CO84" s="307"/>
      <c r="CP84" s="307"/>
      <c r="CQ84" s="307"/>
      <c r="CR84" s="307"/>
      <c r="CS84" s="307"/>
      <c r="CT84" s="307"/>
      <c r="CU84" s="307"/>
      <c r="CV84" s="307"/>
      <c r="CW84" s="307"/>
      <c r="CX84" s="307"/>
    </row>
    <row r="85" spans="1:102" s="229" customFormat="1" ht="22.5" hidden="1">
      <c r="A85" s="304">
        <f t="shared" si="180"/>
        <v>82</v>
      </c>
      <c r="B85" s="302"/>
      <c r="C85" s="371"/>
      <c r="D85" s="230"/>
      <c r="E85" s="231" t="s">
        <v>241</v>
      </c>
      <c r="F85" s="232"/>
      <c r="G85" s="305"/>
      <c r="H85" s="233" t="s">
        <v>106</v>
      </c>
      <c r="I85" s="306"/>
      <c r="J85" s="307"/>
      <c r="K85" s="307"/>
      <c r="L85" s="307"/>
      <c r="M85" s="307"/>
      <c r="N85" s="307"/>
      <c r="O85" s="216">
        <f t="shared" si="181"/>
        <v>0</v>
      </c>
      <c r="P85" s="307">
        <f t="shared" si="175"/>
        <v>0</v>
      </c>
      <c r="Q85" s="307"/>
      <c r="R85" s="307"/>
      <c r="S85" s="307"/>
      <c r="T85" s="216">
        <f t="shared" si="182"/>
        <v>0</v>
      </c>
      <c r="U85" s="217">
        <f t="shared" si="183"/>
        <v>0</v>
      </c>
      <c r="V85" s="217">
        <f t="shared" si="184"/>
        <v>0</v>
      </c>
      <c r="W85" s="307">
        <f t="shared" si="185"/>
        <v>0</v>
      </c>
      <c r="X85" s="215"/>
      <c r="Y85" s="215"/>
      <c r="Z85" s="307"/>
      <c r="AA85" s="217">
        <f t="shared" si="186"/>
        <v>0</v>
      </c>
      <c r="AB85" s="217">
        <f t="shared" si="187"/>
        <v>0</v>
      </c>
      <c r="AC85" s="217">
        <f t="shared" si="188"/>
        <v>0</v>
      </c>
      <c r="AD85" s="217">
        <f t="shared" si="189"/>
        <v>0</v>
      </c>
      <c r="AE85" s="217">
        <f t="shared" si="190"/>
        <v>0</v>
      </c>
      <c r="AF85" s="217">
        <f t="shared" si="194"/>
        <v>0</v>
      </c>
      <c r="AG85" s="217">
        <f t="shared" si="195"/>
        <v>0</v>
      </c>
      <c r="AH85" s="217">
        <f t="shared" si="196"/>
        <v>0</v>
      </c>
      <c r="AI85" s="217">
        <f t="shared" si="197"/>
        <v>0</v>
      </c>
      <c r="AJ85" s="217">
        <f t="shared" si="206"/>
        <v>0</v>
      </c>
      <c r="AK85" s="218">
        <f t="shared" si="204"/>
        <v>0</v>
      </c>
      <c r="AL85" s="218">
        <f t="shared" si="158"/>
        <v>0</v>
      </c>
      <c r="AM85" s="218">
        <f t="shared" si="205"/>
        <v>0</v>
      </c>
      <c r="AN85" s="218">
        <f t="shared" si="162"/>
        <v>0</v>
      </c>
      <c r="AO85" s="218">
        <f t="shared" si="203"/>
        <v>0</v>
      </c>
      <c r="AP85" s="219">
        <f t="shared" si="200"/>
        <v>0</v>
      </c>
      <c r="AQ85" s="308">
        <v>4</v>
      </c>
      <c r="AR85" s="308">
        <v>12</v>
      </c>
      <c r="AS85" s="220">
        <v>1</v>
      </c>
      <c r="AT85" s="220">
        <v>12</v>
      </c>
      <c r="AU85" s="221">
        <f t="shared" si="61"/>
        <v>43313</v>
      </c>
      <c r="AV85" s="221">
        <f t="shared" si="62"/>
        <v>43617</v>
      </c>
      <c r="AW85" s="222">
        <f t="shared" si="191"/>
        <v>5.7099999999999998E-2</v>
      </c>
      <c r="AX85" s="222">
        <f t="shared" si="192"/>
        <v>9.64E-2</v>
      </c>
      <c r="AY85" s="219">
        <f t="shared" si="201"/>
        <v>0</v>
      </c>
      <c r="AZ85" s="219">
        <f t="shared" si="202"/>
        <v>0</v>
      </c>
      <c r="BA85" s="309"/>
      <c r="BB85" s="310"/>
      <c r="BC85" s="223" t="e">
        <f t="shared" si="199"/>
        <v>#DIV/0!</v>
      </c>
      <c r="BD85" s="224"/>
      <c r="BE85" s="225" t="e">
        <f t="shared" ref="BE85:BE92" si="207">J85/$AP85</f>
        <v>#DIV/0!</v>
      </c>
      <c r="BF85" s="225" t="e">
        <f t="shared" ref="BF85:BF92" si="208">K85/$AP85</f>
        <v>#DIV/0!</v>
      </c>
      <c r="BG85" s="225" t="e">
        <f t="shared" ref="BG85:BG92" si="209">L85/$AP85</f>
        <v>#DIV/0!</v>
      </c>
      <c r="BH85" s="225" t="e">
        <f t="shared" ref="BH85:BH92" si="210">M85/$AP85</f>
        <v>#DIV/0!</v>
      </c>
      <c r="BI85" s="225" t="e">
        <f t="shared" ref="BI85:BI92" si="211">N85/$AP85</f>
        <v>#DIV/0!</v>
      </c>
      <c r="BJ85" s="226"/>
      <c r="BK85" s="307"/>
      <c r="BL85" s="307"/>
      <c r="BM85" s="307"/>
      <c r="BN85" s="307"/>
      <c r="BO85" s="307"/>
      <c r="BP85" s="307"/>
      <c r="BQ85" s="307"/>
      <c r="BR85" s="307"/>
      <c r="BS85" s="307"/>
      <c r="BT85" s="307"/>
      <c r="BU85" s="307"/>
      <c r="BV85" s="307"/>
      <c r="BW85" s="307"/>
      <c r="BX85" s="307"/>
      <c r="BY85" s="307"/>
      <c r="BZ85" s="307"/>
      <c r="CA85" s="307"/>
      <c r="CB85" s="307"/>
      <c r="CC85" s="307"/>
      <c r="CD85" s="307"/>
      <c r="CE85" s="307"/>
      <c r="CF85" s="307"/>
      <c r="CG85" s="307"/>
      <c r="CH85" s="307"/>
      <c r="CI85" s="307"/>
      <c r="CJ85" s="307"/>
      <c r="CK85" s="307"/>
      <c r="CL85" s="307"/>
      <c r="CM85" s="307"/>
      <c r="CN85" s="307"/>
      <c r="CO85" s="307"/>
      <c r="CP85" s="307"/>
      <c r="CQ85" s="307"/>
      <c r="CR85" s="307"/>
      <c r="CS85" s="307"/>
      <c r="CT85" s="307"/>
      <c r="CU85" s="307"/>
      <c r="CV85" s="307"/>
      <c r="CW85" s="307"/>
      <c r="CX85" s="307"/>
    </row>
    <row r="86" spans="1:102" s="229" customFormat="1" ht="22.5" hidden="1">
      <c r="A86" s="304">
        <f t="shared" si="180"/>
        <v>83</v>
      </c>
      <c r="B86" s="302"/>
      <c r="C86" s="371"/>
      <c r="D86" s="230"/>
      <c r="E86" s="231" t="s">
        <v>241</v>
      </c>
      <c r="F86" s="232"/>
      <c r="G86" s="305"/>
      <c r="H86" s="233" t="s">
        <v>106</v>
      </c>
      <c r="I86" s="306"/>
      <c r="J86" s="307"/>
      <c r="K86" s="307"/>
      <c r="L86" s="307"/>
      <c r="M86" s="307"/>
      <c r="N86" s="307"/>
      <c r="O86" s="216">
        <f t="shared" ref="O86:O90" si="212">SUM(J86:N86)</f>
        <v>0</v>
      </c>
      <c r="P86" s="307">
        <f t="shared" ref="P86:P90" si="213">ROUND(SUM(J86:N86),0)</f>
        <v>0</v>
      </c>
      <c r="Q86" s="307"/>
      <c r="R86" s="307"/>
      <c r="S86" s="307"/>
      <c r="T86" s="216">
        <f t="shared" ref="T86:T90" si="214">SUM(P86:S86)</f>
        <v>0</v>
      </c>
      <c r="U86" s="217">
        <f t="shared" ref="U86:U90" si="215">ROUND(VLOOKUP($H86,рем_содер,6,0)*P86,0)</f>
        <v>0</v>
      </c>
      <c r="V86" s="217">
        <f t="shared" ref="V86:V90" si="216">ROUND(VLOOKUP($H86,рем_содер,6,0)*Q86,0)</f>
        <v>0</v>
      </c>
      <c r="W86" s="307">
        <f t="shared" ref="W86:W90" si="217">ROUND(VLOOKUP(H86,рем_содер,7,0)*(P86+Q86+U86+V86),0)</f>
        <v>0</v>
      </c>
      <c r="X86" s="215"/>
      <c r="Y86" s="215"/>
      <c r="Z86" s="307"/>
      <c r="AA86" s="217">
        <f t="shared" ref="AA86:AA90" si="218">ROUND(VLOOKUP(H86,рем_содер,8,0)*SUM(P86,U86,X86),0)</f>
        <v>0</v>
      </c>
      <c r="AB86" s="217">
        <f t="shared" ref="AB86:AB90" si="219">ROUND(VLOOKUP(H86,рем_содер,8,0)*SUM(Q86,V86,Y86),0)</f>
        <v>0</v>
      </c>
      <c r="AC86" s="217">
        <f t="shared" ref="AC86:AC90" si="220">ROUND(VLOOKUP(H86,рем_содер,8,0)*R86,0)</f>
        <v>0</v>
      </c>
      <c r="AD86" s="217">
        <f t="shared" ref="AD86:AD90" si="221">ROUND(VLOOKUP(H86,рем_содер,8,0)*SUM(S86,W86,Z86),0)</f>
        <v>0</v>
      </c>
      <c r="AE86" s="217">
        <f t="shared" ref="AE86:AE90" si="222">ROUND(SUM(AA86:AD86),0)</f>
        <v>0</v>
      </c>
      <c r="AF86" s="217">
        <f t="shared" ref="AF86:AF90" si="223">P86+U86+X86+AA86</f>
        <v>0</v>
      </c>
      <c r="AG86" s="217">
        <f t="shared" ref="AG86:AG90" si="224">Q86+V86+Y86+AB86</f>
        <v>0</v>
      </c>
      <c r="AH86" s="217">
        <f t="shared" ref="AH86:AH90" si="225">R86+AC86</f>
        <v>0</v>
      </c>
      <c r="AI86" s="217">
        <f t="shared" ref="AI86:AI90" si="226">S86+W86+Z86+AD86</f>
        <v>0</v>
      </c>
      <c r="AJ86" s="217">
        <f t="shared" ref="AJ86:AJ90" si="227">SUM(AF86:AI86)</f>
        <v>0</v>
      </c>
      <c r="AK86" s="218">
        <f t="shared" ref="AK86:AK90" si="228">AJ86</f>
        <v>0</v>
      </c>
      <c r="AL86" s="218">
        <f t="shared" si="158"/>
        <v>0</v>
      </c>
      <c r="AM86" s="218">
        <f t="shared" ref="AM86:AM90" si="229">ROUND(18%*SUM(AK86,AL86),0)</f>
        <v>0</v>
      </c>
      <c r="AN86" s="218">
        <f t="shared" si="162"/>
        <v>0</v>
      </c>
      <c r="AO86" s="218">
        <f t="shared" ref="AO86:AO90" si="230">ROUND(18%*(AJ86-AK86+AN86),0)</f>
        <v>0</v>
      </c>
      <c r="AP86" s="219">
        <f t="shared" ref="AP86:AP90" si="231">SUM(AJ86,AL86,AM86,AN86,AO86)</f>
        <v>0</v>
      </c>
      <c r="AQ86" s="308">
        <v>4</v>
      </c>
      <c r="AR86" s="308">
        <v>12</v>
      </c>
      <c r="AS86" s="220">
        <v>1</v>
      </c>
      <c r="AT86" s="220">
        <v>12</v>
      </c>
      <c r="AU86" s="221">
        <f t="shared" si="61"/>
        <v>43313</v>
      </c>
      <c r="AV86" s="221">
        <f t="shared" si="62"/>
        <v>43617</v>
      </c>
      <c r="AW86" s="222">
        <f t="shared" ref="AW86:AW90" si="232">ROUND(IF(VLOOKUP($H86,рем_содер,3,0)=2,(1+VLOOKUP($E86,инф_р,HLOOKUP(AW$1,инф_р,2,0),0))*(1+VLOOKUP(AW$1,год,2,0)/12*ROUNDDOWN((AQ86+AR86)/2,0))-1-VLOOKUP($E86,инф_р2,HLOOKUP(AW$1,инф_р2,2,0),0),(1+VLOOKUP($E86,инф_с,HLOOKUP(AW$1,инф_с,2,0),0))*(1+VLOOKUP(AW$1,год,3,0)/12*ROUNDDOWN((AQ86+AR86)/2,0))-1-VLOOKUP($E86,инф_с2,HLOOKUP(AW$1,инф_с2,2,0),0)),4)</f>
        <v>5.7099999999999998E-2</v>
      </c>
      <c r="AX86" s="222">
        <f t="shared" ref="AX86:AX90" si="233">ROUND(IF(VLOOKUP($H86,рем_содер,3,0)=2,(1+VLOOKUP($E86,инф_р,HLOOKUP(AX$1,инф_р,2,0),0))*(1+VLOOKUP(AX$1,год,2,0)/12*ROUNDDOWN((AS86+AT86)/2,0))-1-VLOOKUP($E86,инф_р2,HLOOKUP(AX$1,инф_р2,2,0),0),(1+VLOOKUP($E86,инф_с,HLOOKUP(AX$1,инф_с,2,0),0))*(1+VLOOKUP(AX$1,год,3,0)/12*ROUNDDOWN((AS86+AT86)/2,0))-1-VLOOKUP($E86,инф_с2,HLOOKUP(AX$1,инф_с2,2,0),0)),4)</f>
        <v>9.64E-2</v>
      </c>
      <c r="AY86" s="219">
        <f t="shared" ref="AY86:AY90" si="234">AK86+AL86+AM86</f>
        <v>0</v>
      </c>
      <c r="AZ86" s="219">
        <f t="shared" ref="AZ86:AZ90" si="235">IF(F86="да",AJ86-AK86+AN86+AO86,0)</f>
        <v>0</v>
      </c>
      <c r="BA86" s="309"/>
      <c r="BB86" s="310"/>
      <c r="BC86" s="223" t="e">
        <f t="shared" ref="BC86:BC90" si="236">ROUND(AP86/BA86,0)</f>
        <v>#DIV/0!</v>
      </c>
      <c r="BD86" s="224"/>
      <c r="BE86" s="225" t="e">
        <f t="shared" si="207"/>
        <v>#DIV/0!</v>
      </c>
      <c r="BF86" s="225" t="e">
        <f t="shared" si="208"/>
        <v>#DIV/0!</v>
      </c>
      <c r="BG86" s="225" t="e">
        <f t="shared" si="209"/>
        <v>#DIV/0!</v>
      </c>
      <c r="BH86" s="225" t="e">
        <f t="shared" si="210"/>
        <v>#DIV/0!</v>
      </c>
      <c r="BI86" s="225" t="e">
        <f t="shared" si="211"/>
        <v>#DIV/0!</v>
      </c>
      <c r="BJ86" s="226"/>
      <c r="BK86" s="307"/>
      <c r="BL86" s="307"/>
      <c r="BM86" s="307"/>
      <c r="BN86" s="307"/>
      <c r="BO86" s="307"/>
      <c r="BP86" s="307"/>
      <c r="BQ86" s="307"/>
      <c r="BR86" s="307"/>
      <c r="BS86" s="307"/>
      <c r="BT86" s="307"/>
      <c r="BU86" s="307"/>
      <c r="BV86" s="307"/>
      <c r="BW86" s="307"/>
      <c r="BX86" s="307"/>
      <c r="BY86" s="307"/>
      <c r="BZ86" s="307"/>
      <c r="CA86" s="307"/>
      <c r="CB86" s="307"/>
      <c r="CC86" s="307"/>
      <c r="CD86" s="307"/>
      <c r="CE86" s="307"/>
      <c r="CF86" s="307"/>
      <c r="CG86" s="307"/>
      <c r="CH86" s="307"/>
      <c r="CI86" s="307"/>
      <c r="CJ86" s="307"/>
      <c r="CK86" s="307"/>
      <c r="CL86" s="307"/>
      <c r="CM86" s="307"/>
      <c r="CN86" s="307"/>
      <c r="CO86" s="307"/>
      <c r="CP86" s="307"/>
      <c r="CQ86" s="307"/>
      <c r="CR86" s="307"/>
      <c r="CS86" s="307"/>
      <c r="CT86" s="307"/>
      <c r="CU86" s="307"/>
      <c r="CV86" s="307"/>
      <c r="CW86" s="307"/>
      <c r="CX86" s="307"/>
    </row>
    <row r="87" spans="1:102" s="229" customFormat="1" ht="22.5" hidden="1">
      <c r="A87" s="304">
        <f t="shared" si="180"/>
        <v>84</v>
      </c>
      <c r="B87" s="302"/>
      <c r="C87" s="371"/>
      <c r="D87" s="230"/>
      <c r="E87" s="231" t="s">
        <v>241</v>
      </c>
      <c r="F87" s="232"/>
      <c r="G87" s="305"/>
      <c r="H87" s="233" t="s">
        <v>106</v>
      </c>
      <c r="I87" s="306"/>
      <c r="J87" s="307"/>
      <c r="K87" s="307"/>
      <c r="L87" s="307"/>
      <c r="M87" s="307"/>
      <c r="N87" s="307"/>
      <c r="O87" s="216">
        <f t="shared" si="212"/>
        <v>0</v>
      </c>
      <c r="P87" s="307">
        <f t="shared" si="213"/>
        <v>0</v>
      </c>
      <c r="Q87" s="307"/>
      <c r="R87" s="307"/>
      <c r="S87" s="307"/>
      <c r="T87" s="216">
        <f t="shared" si="214"/>
        <v>0</v>
      </c>
      <c r="U87" s="217">
        <f t="shared" si="215"/>
        <v>0</v>
      </c>
      <c r="V87" s="217">
        <f t="shared" si="216"/>
        <v>0</v>
      </c>
      <c r="W87" s="307">
        <f t="shared" si="217"/>
        <v>0</v>
      </c>
      <c r="X87" s="215"/>
      <c r="Y87" s="215"/>
      <c r="Z87" s="307"/>
      <c r="AA87" s="217">
        <f t="shared" si="218"/>
        <v>0</v>
      </c>
      <c r="AB87" s="217">
        <f t="shared" si="219"/>
        <v>0</v>
      </c>
      <c r="AC87" s="217">
        <f t="shared" si="220"/>
        <v>0</v>
      </c>
      <c r="AD87" s="217">
        <f t="shared" si="221"/>
        <v>0</v>
      </c>
      <c r="AE87" s="217">
        <f t="shared" si="222"/>
        <v>0</v>
      </c>
      <c r="AF87" s="217">
        <f t="shared" si="223"/>
        <v>0</v>
      </c>
      <c r="AG87" s="217">
        <f t="shared" si="224"/>
        <v>0</v>
      </c>
      <c r="AH87" s="217">
        <f t="shared" si="225"/>
        <v>0</v>
      </c>
      <c r="AI87" s="217">
        <f t="shared" si="226"/>
        <v>0</v>
      </c>
      <c r="AJ87" s="217">
        <f t="shared" si="227"/>
        <v>0</v>
      </c>
      <c r="AK87" s="218">
        <f t="shared" si="228"/>
        <v>0</v>
      </c>
      <c r="AL87" s="218">
        <f t="shared" si="158"/>
        <v>0</v>
      </c>
      <c r="AM87" s="218">
        <f t="shared" si="229"/>
        <v>0</v>
      </c>
      <c r="AN87" s="218">
        <f t="shared" si="162"/>
        <v>0</v>
      </c>
      <c r="AO87" s="218">
        <f t="shared" si="230"/>
        <v>0</v>
      </c>
      <c r="AP87" s="219">
        <f t="shared" si="231"/>
        <v>0</v>
      </c>
      <c r="AQ87" s="308">
        <v>4</v>
      </c>
      <c r="AR87" s="308">
        <v>12</v>
      </c>
      <c r="AS87" s="220">
        <v>1</v>
      </c>
      <c r="AT87" s="220">
        <v>12</v>
      </c>
      <c r="AU87" s="221">
        <f t="shared" si="61"/>
        <v>43313</v>
      </c>
      <c r="AV87" s="221">
        <f t="shared" si="62"/>
        <v>43617</v>
      </c>
      <c r="AW87" s="222">
        <f t="shared" si="232"/>
        <v>5.7099999999999998E-2</v>
      </c>
      <c r="AX87" s="222">
        <f t="shared" si="233"/>
        <v>9.64E-2</v>
      </c>
      <c r="AY87" s="219">
        <f t="shared" si="234"/>
        <v>0</v>
      </c>
      <c r="AZ87" s="219">
        <f t="shared" si="235"/>
        <v>0</v>
      </c>
      <c r="BA87" s="309"/>
      <c r="BB87" s="310"/>
      <c r="BC87" s="223" t="e">
        <f t="shared" si="236"/>
        <v>#DIV/0!</v>
      </c>
      <c r="BD87" s="224"/>
      <c r="BE87" s="225" t="e">
        <f t="shared" si="207"/>
        <v>#DIV/0!</v>
      </c>
      <c r="BF87" s="225" t="e">
        <f t="shared" si="208"/>
        <v>#DIV/0!</v>
      </c>
      <c r="BG87" s="225" t="e">
        <f t="shared" si="209"/>
        <v>#DIV/0!</v>
      </c>
      <c r="BH87" s="225" t="e">
        <f t="shared" si="210"/>
        <v>#DIV/0!</v>
      </c>
      <c r="BI87" s="225" t="e">
        <f t="shared" si="211"/>
        <v>#DIV/0!</v>
      </c>
      <c r="BJ87" s="226"/>
      <c r="BK87" s="307"/>
      <c r="BL87" s="307"/>
      <c r="BM87" s="307"/>
      <c r="BN87" s="307"/>
      <c r="BO87" s="307"/>
      <c r="BP87" s="307"/>
      <c r="BQ87" s="307"/>
      <c r="BR87" s="307"/>
      <c r="BS87" s="307"/>
      <c r="BT87" s="307"/>
      <c r="BU87" s="307"/>
      <c r="BV87" s="307"/>
      <c r="BW87" s="307"/>
      <c r="BX87" s="307"/>
      <c r="BY87" s="307"/>
      <c r="BZ87" s="307"/>
      <c r="CA87" s="307"/>
      <c r="CB87" s="307"/>
      <c r="CC87" s="307"/>
      <c r="CD87" s="307"/>
      <c r="CE87" s="307"/>
      <c r="CF87" s="307"/>
      <c r="CG87" s="307"/>
      <c r="CH87" s="307"/>
      <c r="CI87" s="307"/>
      <c r="CJ87" s="307"/>
      <c r="CK87" s="307"/>
      <c r="CL87" s="307"/>
      <c r="CM87" s="307"/>
      <c r="CN87" s="307"/>
      <c r="CO87" s="307"/>
      <c r="CP87" s="307"/>
      <c r="CQ87" s="307"/>
      <c r="CR87" s="307"/>
      <c r="CS87" s="307"/>
      <c r="CT87" s="307"/>
      <c r="CU87" s="307"/>
      <c r="CV87" s="307"/>
      <c r="CW87" s="307"/>
      <c r="CX87" s="307"/>
    </row>
    <row r="88" spans="1:102" s="229" customFormat="1" ht="22.5" hidden="1">
      <c r="A88" s="304">
        <f t="shared" si="180"/>
        <v>85</v>
      </c>
      <c r="B88" s="302"/>
      <c r="C88" s="371"/>
      <c r="D88" s="230"/>
      <c r="E88" s="231" t="s">
        <v>241</v>
      </c>
      <c r="F88" s="232"/>
      <c r="G88" s="305"/>
      <c r="H88" s="233" t="s">
        <v>106</v>
      </c>
      <c r="I88" s="306"/>
      <c r="J88" s="307"/>
      <c r="K88" s="307"/>
      <c r="L88" s="307"/>
      <c r="M88" s="307"/>
      <c r="N88" s="307"/>
      <c r="O88" s="216">
        <f t="shared" si="212"/>
        <v>0</v>
      </c>
      <c r="P88" s="307">
        <f t="shared" si="213"/>
        <v>0</v>
      </c>
      <c r="Q88" s="307"/>
      <c r="R88" s="307"/>
      <c r="S88" s="307"/>
      <c r="T88" s="216">
        <f t="shared" si="214"/>
        <v>0</v>
      </c>
      <c r="U88" s="217">
        <f t="shared" si="215"/>
        <v>0</v>
      </c>
      <c r="V88" s="217">
        <f t="shared" si="216"/>
        <v>0</v>
      </c>
      <c r="W88" s="307">
        <f t="shared" si="217"/>
        <v>0</v>
      </c>
      <c r="X88" s="215"/>
      <c r="Y88" s="215"/>
      <c r="Z88" s="307"/>
      <c r="AA88" s="217">
        <f t="shared" si="218"/>
        <v>0</v>
      </c>
      <c r="AB88" s="217">
        <f t="shared" si="219"/>
        <v>0</v>
      </c>
      <c r="AC88" s="217">
        <f t="shared" si="220"/>
        <v>0</v>
      </c>
      <c r="AD88" s="217">
        <f t="shared" si="221"/>
        <v>0</v>
      </c>
      <c r="AE88" s="217">
        <f t="shared" si="222"/>
        <v>0</v>
      </c>
      <c r="AF88" s="217">
        <f t="shared" si="223"/>
        <v>0</v>
      </c>
      <c r="AG88" s="217">
        <f t="shared" si="224"/>
        <v>0</v>
      </c>
      <c r="AH88" s="217">
        <f t="shared" si="225"/>
        <v>0</v>
      </c>
      <c r="AI88" s="217">
        <f t="shared" si="226"/>
        <v>0</v>
      </c>
      <c r="AJ88" s="217">
        <f t="shared" si="227"/>
        <v>0</v>
      </c>
      <c r="AK88" s="218">
        <f t="shared" si="228"/>
        <v>0</v>
      </c>
      <c r="AL88" s="218">
        <f t="shared" si="158"/>
        <v>0</v>
      </c>
      <c r="AM88" s="218">
        <f t="shared" si="229"/>
        <v>0</v>
      </c>
      <c r="AN88" s="218">
        <f t="shared" si="162"/>
        <v>0</v>
      </c>
      <c r="AO88" s="218">
        <f t="shared" si="230"/>
        <v>0</v>
      </c>
      <c r="AP88" s="219">
        <f t="shared" si="231"/>
        <v>0</v>
      </c>
      <c r="AQ88" s="308">
        <v>4</v>
      </c>
      <c r="AR88" s="308">
        <v>12</v>
      </c>
      <c r="AS88" s="220">
        <v>1</v>
      </c>
      <c r="AT88" s="220">
        <v>12</v>
      </c>
      <c r="AU88" s="221">
        <f t="shared" si="61"/>
        <v>43313</v>
      </c>
      <c r="AV88" s="221">
        <f t="shared" si="62"/>
        <v>43617</v>
      </c>
      <c r="AW88" s="222">
        <f t="shared" si="232"/>
        <v>5.7099999999999998E-2</v>
      </c>
      <c r="AX88" s="222">
        <f t="shared" si="233"/>
        <v>9.64E-2</v>
      </c>
      <c r="AY88" s="219">
        <f t="shared" si="234"/>
        <v>0</v>
      </c>
      <c r="AZ88" s="219">
        <f t="shared" si="235"/>
        <v>0</v>
      </c>
      <c r="BA88" s="309"/>
      <c r="BB88" s="310"/>
      <c r="BC88" s="223" t="e">
        <f t="shared" si="236"/>
        <v>#DIV/0!</v>
      </c>
      <c r="BD88" s="224"/>
      <c r="BE88" s="225" t="e">
        <f t="shared" si="207"/>
        <v>#DIV/0!</v>
      </c>
      <c r="BF88" s="225" t="e">
        <f t="shared" si="208"/>
        <v>#DIV/0!</v>
      </c>
      <c r="BG88" s="225" t="e">
        <f t="shared" si="209"/>
        <v>#DIV/0!</v>
      </c>
      <c r="BH88" s="225" t="e">
        <f t="shared" si="210"/>
        <v>#DIV/0!</v>
      </c>
      <c r="BI88" s="225" t="e">
        <f t="shared" si="211"/>
        <v>#DIV/0!</v>
      </c>
      <c r="BJ88" s="226"/>
      <c r="BK88" s="307"/>
      <c r="BL88" s="307"/>
      <c r="BM88" s="307"/>
      <c r="BN88" s="307"/>
      <c r="BO88" s="307"/>
      <c r="BP88" s="307"/>
      <c r="BQ88" s="307"/>
      <c r="BR88" s="307"/>
      <c r="BS88" s="307"/>
      <c r="BT88" s="307"/>
      <c r="BU88" s="307"/>
      <c r="BV88" s="307"/>
      <c r="BW88" s="307"/>
      <c r="BX88" s="307"/>
      <c r="BY88" s="307"/>
      <c r="BZ88" s="307"/>
      <c r="CA88" s="307"/>
      <c r="CB88" s="307"/>
      <c r="CC88" s="307"/>
      <c r="CD88" s="307"/>
      <c r="CE88" s="307"/>
      <c r="CF88" s="307"/>
      <c r="CG88" s="307"/>
      <c r="CH88" s="307"/>
      <c r="CI88" s="307"/>
      <c r="CJ88" s="307"/>
      <c r="CK88" s="307"/>
      <c r="CL88" s="307"/>
      <c r="CM88" s="307"/>
      <c r="CN88" s="307"/>
      <c r="CO88" s="307"/>
      <c r="CP88" s="307"/>
      <c r="CQ88" s="307"/>
      <c r="CR88" s="307"/>
      <c r="CS88" s="307"/>
      <c r="CT88" s="307"/>
      <c r="CU88" s="307"/>
      <c r="CV88" s="307"/>
      <c r="CW88" s="307"/>
      <c r="CX88" s="307"/>
    </row>
    <row r="89" spans="1:102" s="229" customFormat="1" ht="22.5" hidden="1">
      <c r="A89" s="304">
        <f t="shared" si="180"/>
        <v>86</v>
      </c>
      <c r="B89" s="302"/>
      <c r="C89" s="371"/>
      <c r="D89" s="230"/>
      <c r="E89" s="231" t="s">
        <v>241</v>
      </c>
      <c r="F89" s="232"/>
      <c r="G89" s="305"/>
      <c r="H89" s="233" t="s">
        <v>106</v>
      </c>
      <c r="I89" s="306"/>
      <c r="J89" s="307"/>
      <c r="K89" s="307"/>
      <c r="L89" s="307"/>
      <c r="M89" s="307"/>
      <c r="N89" s="307"/>
      <c r="O89" s="216">
        <f t="shared" ref="O89" si="237">SUM(J89:N89)</f>
        <v>0</v>
      </c>
      <c r="P89" s="307">
        <f t="shared" ref="P89" si="238">ROUND(SUM(J89:N89),0)</f>
        <v>0</v>
      </c>
      <c r="Q89" s="307"/>
      <c r="R89" s="307"/>
      <c r="S89" s="307"/>
      <c r="T89" s="216">
        <f t="shared" ref="T89" si="239">SUM(P89:S89)</f>
        <v>0</v>
      </c>
      <c r="U89" s="217">
        <f t="shared" ref="U89" si="240">ROUND(VLOOKUP($H89,рем_содер,6,0)*P89,0)</f>
        <v>0</v>
      </c>
      <c r="V89" s="217">
        <f t="shared" ref="V89" si="241">ROUND(VLOOKUP($H89,рем_содер,6,0)*Q89,0)</f>
        <v>0</v>
      </c>
      <c r="W89" s="307">
        <f t="shared" ref="W89" si="242">ROUND(VLOOKUP(H89,рем_содер,7,0)*(P89+Q89+U89+V89),0)</f>
        <v>0</v>
      </c>
      <c r="X89" s="215"/>
      <c r="Y89" s="215"/>
      <c r="Z89" s="307"/>
      <c r="AA89" s="217">
        <f t="shared" ref="AA89" si="243">ROUND(VLOOKUP(H89,рем_содер,8,0)*SUM(P89,U89,X89),0)</f>
        <v>0</v>
      </c>
      <c r="AB89" s="217">
        <f t="shared" ref="AB89" si="244">ROUND(VLOOKUP(H89,рем_содер,8,0)*SUM(Q89,V89,Y89),0)</f>
        <v>0</v>
      </c>
      <c r="AC89" s="217">
        <f t="shared" ref="AC89" si="245">ROUND(VLOOKUP(H89,рем_содер,8,0)*R89,0)</f>
        <v>0</v>
      </c>
      <c r="AD89" s="217">
        <f t="shared" ref="AD89" si="246">ROUND(VLOOKUP(H89,рем_содер,8,0)*SUM(S89,W89,Z89),0)</f>
        <v>0</v>
      </c>
      <c r="AE89" s="217">
        <f t="shared" ref="AE89" si="247">ROUND(SUM(AA89:AD89),0)</f>
        <v>0</v>
      </c>
      <c r="AF89" s="217">
        <f t="shared" ref="AF89" si="248">P89+U89+X89+AA89</f>
        <v>0</v>
      </c>
      <c r="AG89" s="217">
        <f t="shared" ref="AG89" si="249">Q89+V89+Y89+AB89</f>
        <v>0</v>
      </c>
      <c r="AH89" s="217">
        <f t="shared" ref="AH89" si="250">R89+AC89</f>
        <v>0</v>
      </c>
      <c r="AI89" s="217">
        <f t="shared" ref="AI89" si="251">S89+W89+Z89+AD89</f>
        <v>0</v>
      </c>
      <c r="AJ89" s="217">
        <f t="shared" ref="AJ89" si="252">SUM(AF89:AI89)</f>
        <v>0</v>
      </c>
      <c r="AK89" s="218">
        <f t="shared" ref="AK89" si="253">AJ89</f>
        <v>0</v>
      </c>
      <c r="AL89" s="218">
        <f t="shared" si="158"/>
        <v>0</v>
      </c>
      <c r="AM89" s="218">
        <f t="shared" ref="AM89" si="254">ROUND(18%*SUM(AK89,AL89),0)</f>
        <v>0</v>
      </c>
      <c r="AN89" s="218">
        <f t="shared" si="162"/>
        <v>0</v>
      </c>
      <c r="AO89" s="218">
        <f t="shared" ref="AO89" si="255">ROUND(18%*(AJ89-AK89+AN89),0)</f>
        <v>0</v>
      </c>
      <c r="AP89" s="219">
        <f t="shared" ref="AP89" si="256">SUM(AJ89,AL89,AM89,AN89,AO89)</f>
        <v>0</v>
      </c>
      <c r="AQ89" s="308">
        <v>4</v>
      </c>
      <c r="AR89" s="308">
        <v>12</v>
      </c>
      <c r="AS89" s="220">
        <v>1</v>
      </c>
      <c r="AT89" s="220">
        <v>12</v>
      </c>
      <c r="AU89" s="221">
        <f t="shared" si="61"/>
        <v>43313</v>
      </c>
      <c r="AV89" s="221">
        <f t="shared" si="62"/>
        <v>43617</v>
      </c>
      <c r="AW89" s="222">
        <f t="shared" ref="AW89" si="257">ROUND(IF(VLOOKUP($H89,рем_содер,3,0)=2,(1+VLOOKUP($E89,инф_р,HLOOKUP(AW$1,инф_р,2,0),0))*(1+VLOOKUP(AW$1,год,2,0)/12*ROUNDDOWN((AQ89+AR89)/2,0))-1-VLOOKUP($E89,инф_р2,HLOOKUP(AW$1,инф_р2,2,0),0),(1+VLOOKUP($E89,инф_с,HLOOKUP(AW$1,инф_с,2,0),0))*(1+VLOOKUP(AW$1,год,3,0)/12*ROUNDDOWN((AQ89+AR89)/2,0))-1-VLOOKUP($E89,инф_с2,HLOOKUP(AW$1,инф_с2,2,0),0)),4)</f>
        <v>5.7099999999999998E-2</v>
      </c>
      <c r="AX89" s="222">
        <f t="shared" ref="AX89" si="258">ROUND(IF(VLOOKUP($H89,рем_содер,3,0)=2,(1+VLOOKUP($E89,инф_р,HLOOKUP(AX$1,инф_р,2,0),0))*(1+VLOOKUP(AX$1,год,2,0)/12*ROUNDDOWN((AS89+AT89)/2,0))-1-VLOOKUP($E89,инф_р2,HLOOKUP(AX$1,инф_р2,2,0),0),(1+VLOOKUP($E89,инф_с,HLOOKUP(AX$1,инф_с,2,0),0))*(1+VLOOKUP(AX$1,год,3,0)/12*ROUNDDOWN((AS89+AT89)/2,0))-1-VLOOKUP($E89,инф_с2,HLOOKUP(AX$1,инф_с2,2,0),0)),4)</f>
        <v>9.64E-2</v>
      </c>
      <c r="AY89" s="219">
        <f t="shared" ref="AY89" si="259">AK89+AL89+AM89</f>
        <v>0</v>
      </c>
      <c r="AZ89" s="219">
        <f t="shared" ref="AZ89" si="260">IF(F89="да",AJ89-AK89+AN89+AO89,0)</f>
        <v>0</v>
      </c>
      <c r="BA89" s="309"/>
      <c r="BB89" s="310"/>
      <c r="BC89" s="223" t="e">
        <f t="shared" ref="BC89" si="261">ROUND(AP89/BA89,0)</f>
        <v>#DIV/0!</v>
      </c>
      <c r="BD89" s="224"/>
      <c r="BE89" s="225" t="e">
        <f t="shared" si="207"/>
        <v>#DIV/0!</v>
      </c>
      <c r="BF89" s="225" t="e">
        <f t="shared" si="208"/>
        <v>#DIV/0!</v>
      </c>
      <c r="BG89" s="225" t="e">
        <f t="shared" si="209"/>
        <v>#DIV/0!</v>
      </c>
      <c r="BH89" s="225" t="e">
        <f t="shared" si="210"/>
        <v>#DIV/0!</v>
      </c>
      <c r="BI89" s="225" t="e">
        <f t="shared" si="211"/>
        <v>#DIV/0!</v>
      </c>
      <c r="BJ89" s="226"/>
      <c r="BK89" s="307"/>
      <c r="BL89" s="307"/>
      <c r="BM89" s="307"/>
      <c r="BN89" s="307"/>
      <c r="BO89" s="307"/>
      <c r="BP89" s="307"/>
      <c r="BQ89" s="307"/>
      <c r="BR89" s="307"/>
      <c r="BS89" s="307"/>
      <c r="BT89" s="307"/>
      <c r="BU89" s="307"/>
      <c r="BV89" s="307"/>
      <c r="BW89" s="307"/>
      <c r="BX89" s="307"/>
      <c r="BY89" s="307"/>
      <c r="BZ89" s="307"/>
      <c r="CA89" s="307"/>
      <c r="CB89" s="307"/>
      <c r="CC89" s="307"/>
      <c r="CD89" s="307"/>
      <c r="CE89" s="307"/>
      <c r="CF89" s="307"/>
      <c r="CG89" s="307"/>
      <c r="CH89" s="307"/>
      <c r="CI89" s="307"/>
      <c r="CJ89" s="307"/>
      <c r="CK89" s="307"/>
      <c r="CL89" s="307"/>
      <c r="CM89" s="307"/>
      <c r="CN89" s="307"/>
      <c r="CO89" s="307"/>
      <c r="CP89" s="307"/>
      <c r="CQ89" s="307"/>
      <c r="CR89" s="307"/>
      <c r="CS89" s="307"/>
      <c r="CT89" s="307"/>
      <c r="CU89" s="307"/>
      <c r="CV89" s="307"/>
      <c r="CW89" s="307"/>
      <c r="CX89" s="307"/>
    </row>
    <row r="90" spans="1:102" s="229" customFormat="1" ht="22.5" hidden="1">
      <c r="A90" s="304">
        <f t="shared" si="180"/>
        <v>87</v>
      </c>
      <c r="B90" s="302"/>
      <c r="C90" s="371"/>
      <c r="D90" s="230"/>
      <c r="E90" s="231" t="s">
        <v>241</v>
      </c>
      <c r="F90" s="232"/>
      <c r="G90" s="305"/>
      <c r="H90" s="233" t="s">
        <v>106</v>
      </c>
      <c r="I90" s="306"/>
      <c r="J90" s="307"/>
      <c r="K90" s="307"/>
      <c r="L90" s="307"/>
      <c r="M90" s="307"/>
      <c r="N90" s="307"/>
      <c r="O90" s="216">
        <f t="shared" si="212"/>
        <v>0</v>
      </c>
      <c r="P90" s="307">
        <f t="shared" si="213"/>
        <v>0</v>
      </c>
      <c r="Q90" s="307"/>
      <c r="R90" s="307"/>
      <c r="S90" s="307"/>
      <c r="T90" s="216">
        <f t="shared" si="214"/>
        <v>0</v>
      </c>
      <c r="U90" s="217">
        <f t="shared" si="215"/>
        <v>0</v>
      </c>
      <c r="V90" s="217">
        <f t="shared" si="216"/>
        <v>0</v>
      </c>
      <c r="W90" s="307">
        <f t="shared" si="217"/>
        <v>0</v>
      </c>
      <c r="X90" s="215"/>
      <c r="Y90" s="215"/>
      <c r="Z90" s="307"/>
      <c r="AA90" s="217">
        <f t="shared" si="218"/>
        <v>0</v>
      </c>
      <c r="AB90" s="217">
        <f t="shared" si="219"/>
        <v>0</v>
      </c>
      <c r="AC90" s="217">
        <f t="shared" si="220"/>
        <v>0</v>
      </c>
      <c r="AD90" s="217">
        <f t="shared" si="221"/>
        <v>0</v>
      </c>
      <c r="AE90" s="217">
        <f t="shared" si="222"/>
        <v>0</v>
      </c>
      <c r="AF90" s="217">
        <f t="shared" si="223"/>
        <v>0</v>
      </c>
      <c r="AG90" s="217">
        <f t="shared" si="224"/>
        <v>0</v>
      </c>
      <c r="AH90" s="217">
        <f t="shared" si="225"/>
        <v>0</v>
      </c>
      <c r="AI90" s="217">
        <f t="shared" si="226"/>
        <v>0</v>
      </c>
      <c r="AJ90" s="217">
        <f t="shared" si="227"/>
        <v>0</v>
      </c>
      <c r="AK90" s="218">
        <f t="shared" si="228"/>
        <v>0</v>
      </c>
      <c r="AL90" s="218">
        <f t="shared" si="158"/>
        <v>0</v>
      </c>
      <c r="AM90" s="218">
        <f t="shared" si="229"/>
        <v>0</v>
      </c>
      <c r="AN90" s="218">
        <f t="shared" si="162"/>
        <v>0</v>
      </c>
      <c r="AO90" s="218">
        <f t="shared" si="230"/>
        <v>0</v>
      </c>
      <c r="AP90" s="219">
        <f t="shared" si="231"/>
        <v>0</v>
      </c>
      <c r="AQ90" s="308">
        <v>4</v>
      </c>
      <c r="AR90" s="308">
        <v>12</v>
      </c>
      <c r="AS90" s="220">
        <v>1</v>
      </c>
      <c r="AT90" s="220">
        <v>12</v>
      </c>
      <c r="AU90" s="221">
        <f t="shared" si="61"/>
        <v>43313</v>
      </c>
      <c r="AV90" s="221">
        <f t="shared" si="62"/>
        <v>43617</v>
      </c>
      <c r="AW90" s="222">
        <f t="shared" si="232"/>
        <v>5.7099999999999998E-2</v>
      </c>
      <c r="AX90" s="222">
        <f t="shared" si="233"/>
        <v>9.64E-2</v>
      </c>
      <c r="AY90" s="219">
        <f t="shared" si="234"/>
        <v>0</v>
      </c>
      <c r="AZ90" s="219">
        <f t="shared" si="235"/>
        <v>0</v>
      </c>
      <c r="BA90" s="309"/>
      <c r="BB90" s="310"/>
      <c r="BC90" s="223" t="e">
        <f t="shared" si="236"/>
        <v>#DIV/0!</v>
      </c>
      <c r="BD90" s="224"/>
      <c r="BE90" s="225" t="e">
        <f t="shared" ref="BE90" si="262">J90/$AP90</f>
        <v>#DIV/0!</v>
      </c>
      <c r="BF90" s="225" t="e">
        <f t="shared" ref="BF90" si="263">K90/$AP90</f>
        <v>#DIV/0!</v>
      </c>
      <c r="BG90" s="225" t="e">
        <f t="shared" ref="BG90" si="264">L90/$AP90</f>
        <v>#DIV/0!</v>
      </c>
      <c r="BH90" s="225" t="e">
        <f t="shared" ref="BH90" si="265">M90/$AP90</f>
        <v>#DIV/0!</v>
      </c>
      <c r="BI90" s="225" t="e">
        <f t="shared" ref="BI90" si="266">N90/$AP90</f>
        <v>#DIV/0!</v>
      </c>
      <c r="BJ90" s="226"/>
      <c r="BK90" s="307"/>
      <c r="BL90" s="307"/>
      <c r="BM90" s="307"/>
      <c r="BN90" s="307"/>
      <c r="BO90" s="307"/>
      <c r="BP90" s="307"/>
      <c r="BQ90" s="307"/>
      <c r="BR90" s="307"/>
      <c r="BS90" s="307"/>
      <c r="BT90" s="307"/>
      <c r="BU90" s="307"/>
      <c r="BV90" s="307"/>
      <c r="BW90" s="307"/>
      <c r="BX90" s="307"/>
      <c r="BY90" s="307"/>
      <c r="BZ90" s="307"/>
      <c r="CA90" s="307"/>
      <c r="CB90" s="307"/>
      <c r="CC90" s="307"/>
      <c r="CD90" s="307"/>
      <c r="CE90" s="307"/>
      <c r="CF90" s="307"/>
      <c r="CG90" s="307"/>
      <c r="CH90" s="307"/>
      <c r="CI90" s="307"/>
      <c r="CJ90" s="307"/>
      <c r="CK90" s="307"/>
      <c r="CL90" s="307"/>
      <c r="CM90" s="307"/>
      <c r="CN90" s="307"/>
      <c r="CO90" s="307"/>
      <c r="CP90" s="307"/>
      <c r="CQ90" s="307"/>
      <c r="CR90" s="307"/>
      <c r="CS90" s="307"/>
      <c r="CT90" s="307"/>
      <c r="CU90" s="307"/>
      <c r="CV90" s="307"/>
      <c r="CW90" s="307"/>
      <c r="CX90" s="307"/>
    </row>
    <row r="91" spans="1:102" s="229" customFormat="1" ht="22.5" hidden="1">
      <c r="A91" s="304">
        <f t="shared" si="180"/>
        <v>88</v>
      </c>
      <c r="B91" s="302"/>
      <c r="C91" s="371"/>
      <c r="D91" s="230"/>
      <c r="E91" s="231" t="s">
        <v>241</v>
      </c>
      <c r="F91" s="232"/>
      <c r="G91" s="305"/>
      <c r="H91" s="233" t="s">
        <v>106</v>
      </c>
      <c r="I91" s="306"/>
      <c r="J91" s="307"/>
      <c r="K91" s="307"/>
      <c r="L91" s="307"/>
      <c r="M91" s="307"/>
      <c r="N91" s="307"/>
      <c r="O91" s="216">
        <f t="shared" si="181"/>
        <v>0</v>
      </c>
      <c r="P91" s="307">
        <f t="shared" si="175"/>
        <v>0</v>
      </c>
      <c r="Q91" s="307"/>
      <c r="R91" s="307"/>
      <c r="S91" s="307"/>
      <c r="T91" s="216">
        <f t="shared" si="182"/>
        <v>0</v>
      </c>
      <c r="U91" s="217">
        <f t="shared" si="183"/>
        <v>0</v>
      </c>
      <c r="V91" s="217">
        <f t="shared" si="184"/>
        <v>0</v>
      </c>
      <c r="W91" s="307">
        <f t="shared" si="185"/>
        <v>0</v>
      </c>
      <c r="X91" s="215"/>
      <c r="Y91" s="215"/>
      <c r="Z91" s="307"/>
      <c r="AA91" s="217">
        <f t="shared" si="186"/>
        <v>0</v>
      </c>
      <c r="AB91" s="217">
        <f t="shared" si="187"/>
        <v>0</v>
      </c>
      <c r="AC91" s="217">
        <f t="shared" si="188"/>
        <v>0</v>
      </c>
      <c r="AD91" s="217">
        <f t="shared" si="189"/>
        <v>0</v>
      </c>
      <c r="AE91" s="217">
        <f t="shared" si="190"/>
        <v>0</v>
      </c>
      <c r="AF91" s="217">
        <f t="shared" si="194"/>
        <v>0</v>
      </c>
      <c r="AG91" s="217">
        <f t="shared" si="195"/>
        <v>0</v>
      </c>
      <c r="AH91" s="217">
        <f t="shared" si="196"/>
        <v>0</v>
      </c>
      <c r="AI91" s="217">
        <f t="shared" si="197"/>
        <v>0</v>
      </c>
      <c r="AJ91" s="217">
        <f t="shared" si="206"/>
        <v>0</v>
      </c>
      <c r="AK91" s="218">
        <f t="shared" si="204"/>
        <v>0</v>
      </c>
      <c r="AL91" s="218">
        <f t="shared" si="158"/>
        <v>0</v>
      </c>
      <c r="AM91" s="218">
        <f t="shared" si="205"/>
        <v>0</v>
      </c>
      <c r="AN91" s="218">
        <f t="shared" si="162"/>
        <v>0</v>
      </c>
      <c r="AO91" s="218">
        <f t="shared" si="203"/>
        <v>0</v>
      </c>
      <c r="AP91" s="219">
        <f t="shared" si="200"/>
        <v>0</v>
      </c>
      <c r="AQ91" s="308">
        <v>4</v>
      </c>
      <c r="AR91" s="308">
        <v>12</v>
      </c>
      <c r="AS91" s="220">
        <v>1</v>
      </c>
      <c r="AT91" s="220">
        <v>12</v>
      </c>
      <c r="AU91" s="221">
        <f t="shared" si="61"/>
        <v>43313</v>
      </c>
      <c r="AV91" s="221">
        <f t="shared" si="62"/>
        <v>43617</v>
      </c>
      <c r="AW91" s="222">
        <f t="shared" si="191"/>
        <v>5.7099999999999998E-2</v>
      </c>
      <c r="AX91" s="222">
        <f t="shared" si="192"/>
        <v>9.64E-2</v>
      </c>
      <c r="AY91" s="219">
        <f t="shared" si="201"/>
        <v>0</v>
      </c>
      <c r="AZ91" s="219">
        <f t="shared" si="202"/>
        <v>0</v>
      </c>
      <c r="BA91" s="309"/>
      <c r="BB91" s="310"/>
      <c r="BC91" s="223" t="e">
        <f t="shared" si="199"/>
        <v>#DIV/0!</v>
      </c>
      <c r="BD91" s="224"/>
      <c r="BE91" s="225" t="e">
        <f t="shared" si="207"/>
        <v>#DIV/0!</v>
      </c>
      <c r="BF91" s="225" t="e">
        <f t="shared" si="208"/>
        <v>#DIV/0!</v>
      </c>
      <c r="BG91" s="225" t="e">
        <f t="shared" si="209"/>
        <v>#DIV/0!</v>
      </c>
      <c r="BH91" s="225" t="e">
        <f t="shared" si="210"/>
        <v>#DIV/0!</v>
      </c>
      <c r="BI91" s="225" t="e">
        <f t="shared" si="211"/>
        <v>#DIV/0!</v>
      </c>
      <c r="BJ91" s="226"/>
      <c r="BK91" s="307"/>
      <c r="BL91" s="307"/>
      <c r="BM91" s="307"/>
      <c r="BN91" s="307"/>
      <c r="BO91" s="307"/>
      <c r="BP91" s="307"/>
      <c r="BQ91" s="307"/>
      <c r="BR91" s="307"/>
      <c r="BS91" s="307"/>
      <c r="BT91" s="307"/>
      <c r="BU91" s="307"/>
      <c r="BV91" s="307"/>
      <c r="BW91" s="307"/>
      <c r="BX91" s="307"/>
      <c r="BY91" s="307"/>
      <c r="BZ91" s="307"/>
      <c r="CA91" s="307"/>
      <c r="CB91" s="307"/>
      <c r="CC91" s="307"/>
      <c r="CD91" s="307"/>
      <c r="CE91" s="307"/>
      <c r="CF91" s="307"/>
      <c r="CG91" s="307"/>
      <c r="CH91" s="307"/>
      <c r="CI91" s="307"/>
      <c r="CJ91" s="307"/>
      <c r="CK91" s="307"/>
      <c r="CL91" s="307"/>
      <c r="CM91" s="307"/>
      <c r="CN91" s="307"/>
      <c r="CO91" s="307"/>
      <c r="CP91" s="307"/>
      <c r="CQ91" s="307"/>
      <c r="CR91" s="307"/>
      <c r="CS91" s="307"/>
      <c r="CT91" s="307"/>
      <c r="CU91" s="307"/>
      <c r="CV91" s="307"/>
      <c r="CW91" s="307"/>
      <c r="CX91" s="307"/>
    </row>
    <row r="92" spans="1:102" s="229" customFormat="1" ht="22.5" hidden="1">
      <c r="A92" s="304">
        <f t="shared" si="180"/>
        <v>89</v>
      </c>
      <c r="B92" s="302"/>
      <c r="C92" s="371"/>
      <c r="D92" s="230"/>
      <c r="E92" s="231" t="s">
        <v>241</v>
      </c>
      <c r="F92" s="232"/>
      <c r="G92" s="305"/>
      <c r="H92" s="233" t="s">
        <v>106</v>
      </c>
      <c r="I92" s="306"/>
      <c r="J92" s="307"/>
      <c r="K92" s="307"/>
      <c r="L92" s="307"/>
      <c r="M92" s="307"/>
      <c r="N92" s="307"/>
      <c r="O92" s="216">
        <f t="shared" si="181"/>
        <v>0</v>
      </c>
      <c r="P92" s="307">
        <f t="shared" si="175"/>
        <v>0</v>
      </c>
      <c r="Q92" s="307"/>
      <c r="R92" s="307"/>
      <c r="S92" s="307"/>
      <c r="T92" s="216">
        <f t="shared" si="182"/>
        <v>0</v>
      </c>
      <c r="U92" s="217">
        <f t="shared" si="183"/>
        <v>0</v>
      </c>
      <c r="V92" s="217">
        <f t="shared" si="184"/>
        <v>0</v>
      </c>
      <c r="W92" s="307">
        <f t="shared" si="185"/>
        <v>0</v>
      </c>
      <c r="X92" s="215"/>
      <c r="Y92" s="215"/>
      <c r="Z92" s="307"/>
      <c r="AA92" s="217">
        <f t="shared" si="186"/>
        <v>0</v>
      </c>
      <c r="AB92" s="217">
        <f t="shared" si="187"/>
        <v>0</v>
      </c>
      <c r="AC92" s="217">
        <f t="shared" si="188"/>
        <v>0</v>
      </c>
      <c r="AD92" s="217">
        <f t="shared" si="189"/>
        <v>0</v>
      </c>
      <c r="AE92" s="217">
        <f t="shared" si="190"/>
        <v>0</v>
      </c>
      <c r="AF92" s="217">
        <f t="shared" si="194"/>
        <v>0</v>
      </c>
      <c r="AG92" s="217">
        <f t="shared" si="195"/>
        <v>0</v>
      </c>
      <c r="AH92" s="217">
        <f t="shared" si="196"/>
        <v>0</v>
      </c>
      <c r="AI92" s="217">
        <f t="shared" si="197"/>
        <v>0</v>
      </c>
      <c r="AJ92" s="217">
        <f t="shared" si="206"/>
        <v>0</v>
      </c>
      <c r="AK92" s="218">
        <f t="shared" si="204"/>
        <v>0</v>
      </c>
      <c r="AL92" s="218">
        <f t="shared" si="158"/>
        <v>0</v>
      </c>
      <c r="AM92" s="218">
        <f t="shared" si="205"/>
        <v>0</v>
      </c>
      <c r="AN92" s="218">
        <f t="shared" si="162"/>
        <v>0</v>
      </c>
      <c r="AO92" s="218">
        <f t="shared" si="203"/>
        <v>0</v>
      </c>
      <c r="AP92" s="219">
        <f t="shared" si="200"/>
        <v>0</v>
      </c>
      <c r="AQ92" s="308">
        <v>4</v>
      </c>
      <c r="AR92" s="308">
        <v>12</v>
      </c>
      <c r="AS92" s="220">
        <v>1</v>
      </c>
      <c r="AT92" s="220">
        <v>12</v>
      </c>
      <c r="AU92" s="221">
        <f t="shared" si="61"/>
        <v>43313</v>
      </c>
      <c r="AV92" s="221">
        <f t="shared" si="62"/>
        <v>43617</v>
      </c>
      <c r="AW92" s="222">
        <f t="shared" si="191"/>
        <v>5.7099999999999998E-2</v>
      </c>
      <c r="AX92" s="222">
        <f t="shared" si="192"/>
        <v>9.64E-2</v>
      </c>
      <c r="AY92" s="219">
        <f t="shared" si="201"/>
        <v>0</v>
      </c>
      <c r="AZ92" s="219">
        <f t="shared" si="202"/>
        <v>0</v>
      </c>
      <c r="BA92" s="309"/>
      <c r="BB92" s="310"/>
      <c r="BC92" s="223" t="e">
        <f t="shared" si="199"/>
        <v>#DIV/0!</v>
      </c>
      <c r="BD92" s="224"/>
      <c r="BE92" s="225" t="e">
        <f t="shared" si="207"/>
        <v>#DIV/0!</v>
      </c>
      <c r="BF92" s="225" t="e">
        <f t="shared" si="208"/>
        <v>#DIV/0!</v>
      </c>
      <c r="BG92" s="225" t="e">
        <f t="shared" si="209"/>
        <v>#DIV/0!</v>
      </c>
      <c r="BH92" s="225" t="e">
        <f t="shared" si="210"/>
        <v>#DIV/0!</v>
      </c>
      <c r="BI92" s="225" t="e">
        <f t="shared" si="211"/>
        <v>#DIV/0!</v>
      </c>
      <c r="BJ92" s="226"/>
      <c r="BK92" s="307"/>
      <c r="BL92" s="307"/>
      <c r="BM92" s="307"/>
      <c r="BN92" s="307"/>
      <c r="BO92" s="307"/>
      <c r="BP92" s="307"/>
      <c r="BQ92" s="307"/>
      <c r="BR92" s="307"/>
      <c r="BS92" s="307"/>
      <c r="BT92" s="307"/>
      <c r="BU92" s="307"/>
      <c r="BV92" s="307"/>
      <c r="BW92" s="307"/>
      <c r="BX92" s="307"/>
      <c r="BY92" s="307"/>
      <c r="BZ92" s="307"/>
      <c r="CA92" s="307"/>
      <c r="CB92" s="307"/>
      <c r="CC92" s="307"/>
      <c r="CD92" s="307"/>
      <c r="CE92" s="307"/>
      <c r="CF92" s="307"/>
      <c r="CG92" s="307"/>
      <c r="CH92" s="307"/>
      <c r="CI92" s="307"/>
      <c r="CJ92" s="307"/>
      <c r="CK92" s="307"/>
      <c r="CL92" s="307"/>
      <c r="CM92" s="307"/>
      <c r="CN92" s="307"/>
      <c r="CO92" s="307"/>
      <c r="CP92" s="307"/>
      <c r="CQ92" s="307"/>
      <c r="CR92" s="307"/>
      <c r="CS92" s="307"/>
      <c r="CT92" s="307"/>
      <c r="CU92" s="307"/>
      <c r="CV92" s="307"/>
      <c r="CW92" s="307"/>
      <c r="CX92" s="307"/>
    </row>
    <row r="93" spans="1:102" s="229" customFormat="1" ht="22.5" hidden="1">
      <c r="A93" s="333">
        <f t="shared" si="180"/>
        <v>90</v>
      </c>
      <c r="B93" s="334"/>
      <c r="C93" s="371"/>
      <c r="D93" s="335"/>
      <c r="E93" s="336" t="s">
        <v>241</v>
      </c>
      <c r="F93" s="337"/>
      <c r="G93" s="338"/>
      <c r="H93" s="339" t="s">
        <v>106</v>
      </c>
      <c r="I93" s="311"/>
      <c r="J93" s="340"/>
      <c r="K93" s="340"/>
      <c r="L93" s="340"/>
      <c r="M93" s="340"/>
      <c r="N93" s="340"/>
      <c r="O93" s="341">
        <f t="shared" si="73"/>
        <v>0</v>
      </c>
      <c r="P93" s="307">
        <f t="shared" si="74"/>
        <v>0</v>
      </c>
      <c r="Q93" s="340"/>
      <c r="R93" s="340"/>
      <c r="S93" s="340"/>
      <c r="T93" s="341">
        <f t="shared" si="75"/>
        <v>0</v>
      </c>
      <c r="U93" s="342">
        <f t="shared" si="76"/>
        <v>0</v>
      </c>
      <c r="V93" s="342">
        <f t="shared" si="77"/>
        <v>0</v>
      </c>
      <c r="W93" s="340">
        <f t="shared" si="137"/>
        <v>0</v>
      </c>
      <c r="X93" s="343"/>
      <c r="Y93" s="343"/>
      <c r="Z93" s="340"/>
      <c r="AA93" s="342">
        <f t="shared" si="138"/>
        <v>0</v>
      </c>
      <c r="AB93" s="342">
        <f t="shared" si="139"/>
        <v>0</v>
      </c>
      <c r="AC93" s="342">
        <f t="shared" si="140"/>
        <v>0</v>
      </c>
      <c r="AD93" s="342">
        <f t="shared" si="141"/>
        <v>0</v>
      </c>
      <c r="AE93" s="342">
        <f t="shared" si="82"/>
        <v>0</v>
      </c>
      <c r="AF93" s="342">
        <f t="shared" si="152"/>
        <v>0</v>
      </c>
      <c r="AG93" s="342">
        <f t="shared" si="153"/>
        <v>0</v>
      </c>
      <c r="AH93" s="342">
        <f t="shared" si="154"/>
        <v>0</v>
      </c>
      <c r="AI93" s="342">
        <f t="shared" si="155"/>
        <v>0</v>
      </c>
      <c r="AJ93" s="342">
        <f t="shared" si="174"/>
        <v>0</v>
      </c>
      <c r="AK93" s="344">
        <f t="shared" si="164"/>
        <v>0</v>
      </c>
      <c r="AL93" s="344">
        <f t="shared" si="158"/>
        <v>0</v>
      </c>
      <c r="AM93" s="344">
        <f t="shared" si="165"/>
        <v>0</v>
      </c>
      <c r="AN93" s="344">
        <f t="shared" si="162"/>
        <v>0</v>
      </c>
      <c r="AO93" s="344">
        <f t="shared" si="163"/>
        <v>0</v>
      </c>
      <c r="AP93" s="345">
        <f t="shared" si="159"/>
        <v>0</v>
      </c>
      <c r="AQ93" s="346">
        <v>4</v>
      </c>
      <c r="AR93" s="346">
        <v>12</v>
      </c>
      <c r="AS93" s="347">
        <v>1</v>
      </c>
      <c r="AT93" s="347">
        <v>12</v>
      </c>
      <c r="AU93" s="348">
        <f t="shared" si="61"/>
        <v>43313</v>
      </c>
      <c r="AV93" s="348">
        <f t="shared" si="62"/>
        <v>43617</v>
      </c>
      <c r="AW93" s="349">
        <f t="shared" si="92"/>
        <v>5.7099999999999998E-2</v>
      </c>
      <c r="AX93" s="349">
        <f t="shared" si="93"/>
        <v>9.64E-2</v>
      </c>
      <c r="AY93" s="345">
        <f t="shared" si="160"/>
        <v>0</v>
      </c>
      <c r="AZ93" s="345">
        <f t="shared" si="161"/>
        <v>0</v>
      </c>
      <c r="BA93" s="350"/>
      <c r="BB93" s="351"/>
      <c r="BC93" s="352" t="e">
        <f t="shared" si="157"/>
        <v>#DIV/0!</v>
      </c>
      <c r="BD93" s="353"/>
      <c r="BE93" s="354" t="e">
        <f t="shared" si="169"/>
        <v>#DIV/0!</v>
      </c>
      <c r="BF93" s="354" t="e">
        <f t="shared" si="170"/>
        <v>#DIV/0!</v>
      </c>
      <c r="BG93" s="354" t="e">
        <f t="shared" si="171"/>
        <v>#DIV/0!</v>
      </c>
      <c r="BH93" s="354" t="e">
        <f t="shared" si="172"/>
        <v>#DIV/0!</v>
      </c>
      <c r="BI93" s="354" t="e">
        <f t="shared" si="173"/>
        <v>#DIV/0!</v>
      </c>
      <c r="BJ93" s="226"/>
      <c r="BK93" s="340"/>
      <c r="BL93" s="340"/>
      <c r="BM93" s="340"/>
      <c r="BN93" s="340"/>
      <c r="BO93" s="340"/>
      <c r="BP93" s="340"/>
      <c r="BQ93" s="340"/>
      <c r="BR93" s="340"/>
      <c r="BS93" s="340"/>
      <c r="BT93" s="340"/>
      <c r="BU93" s="340"/>
      <c r="BV93" s="340"/>
      <c r="BW93" s="340"/>
      <c r="BX93" s="340"/>
      <c r="BY93" s="340"/>
      <c r="BZ93" s="340"/>
      <c r="CA93" s="340"/>
      <c r="CB93" s="340"/>
      <c r="CC93" s="340"/>
      <c r="CD93" s="340"/>
      <c r="CE93" s="340"/>
      <c r="CF93" s="340"/>
      <c r="CG93" s="340"/>
      <c r="CH93" s="340"/>
      <c r="CI93" s="340"/>
      <c r="CJ93" s="340"/>
      <c r="CK93" s="340"/>
      <c r="CL93" s="340"/>
      <c r="CM93" s="340"/>
      <c r="CN93" s="340"/>
      <c r="CO93" s="340"/>
      <c r="CP93" s="340"/>
      <c r="CQ93" s="340"/>
      <c r="CR93" s="340"/>
      <c r="CS93" s="340"/>
      <c r="CT93" s="340"/>
      <c r="CU93" s="340"/>
      <c r="CV93" s="340"/>
      <c r="CW93" s="340"/>
      <c r="CX93" s="340"/>
    </row>
    <row r="94" spans="1:102" s="228" customFormat="1" ht="1.5" customHeight="1">
      <c r="A94" s="315">
        <v>0</v>
      </c>
      <c r="B94" s="316"/>
      <c r="C94" s="317"/>
      <c r="D94" s="318"/>
      <c r="E94" s="319"/>
      <c r="F94" s="320"/>
      <c r="G94" s="321"/>
      <c r="H94" s="322"/>
      <c r="I94" s="323"/>
      <c r="J94" s="324"/>
      <c r="K94" s="324"/>
      <c r="L94" s="324"/>
      <c r="M94" s="324"/>
      <c r="N94" s="324"/>
      <c r="O94" s="325"/>
      <c r="P94" s="324"/>
      <c r="Q94" s="324"/>
      <c r="R94" s="324"/>
      <c r="S94" s="324"/>
      <c r="T94" s="325"/>
      <c r="U94" s="324"/>
      <c r="V94" s="324"/>
      <c r="W94" s="324"/>
      <c r="X94" s="324"/>
      <c r="Y94" s="324"/>
      <c r="Z94" s="324"/>
      <c r="AA94" s="324"/>
      <c r="AB94" s="324"/>
      <c r="AC94" s="324"/>
      <c r="AD94" s="324"/>
      <c r="AE94" s="324"/>
      <c r="AF94" s="324"/>
      <c r="AG94" s="324"/>
      <c r="AH94" s="324"/>
      <c r="AI94" s="324"/>
      <c r="AJ94" s="324"/>
      <c r="AK94" s="324"/>
      <c r="AL94" s="324"/>
      <c r="AM94" s="324"/>
      <c r="AN94" s="324"/>
      <c r="AO94" s="324"/>
      <c r="AP94" s="326"/>
      <c r="AQ94" s="327"/>
      <c r="AR94" s="327"/>
      <c r="AS94" s="327"/>
      <c r="AT94" s="327"/>
      <c r="AU94" s="328"/>
      <c r="AV94" s="328"/>
      <c r="AW94" s="329"/>
      <c r="AX94" s="329"/>
      <c r="AY94" s="326"/>
      <c r="AZ94" s="326"/>
      <c r="BA94" s="330"/>
      <c r="BB94" s="331"/>
      <c r="BC94" s="331"/>
      <c r="BD94" s="315"/>
      <c r="BE94" s="332"/>
      <c r="BF94" s="332"/>
      <c r="BG94" s="332"/>
      <c r="BH94" s="332"/>
      <c r="BI94" s="332"/>
      <c r="BK94" s="368"/>
      <c r="BL94" s="368"/>
      <c r="BM94" s="368"/>
      <c r="BN94" s="368"/>
      <c r="BO94" s="368"/>
      <c r="BP94" s="368"/>
      <c r="BQ94" s="368"/>
      <c r="BR94" s="368"/>
      <c r="BS94" s="368"/>
      <c r="BT94" s="368"/>
      <c r="BU94" s="368"/>
      <c r="BV94" s="368"/>
      <c r="BW94" s="368"/>
      <c r="BX94" s="368"/>
      <c r="BY94" s="368"/>
      <c r="BZ94" s="368"/>
      <c r="CA94" s="368"/>
      <c r="CB94" s="368"/>
      <c r="CC94" s="368"/>
      <c r="CD94" s="368"/>
      <c r="CE94" s="368"/>
      <c r="CF94" s="368"/>
      <c r="CG94" s="368"/>
      <c r="CH94" s="368"/>
      <c r="CI94" s="368"/>
      <c r="CJ94" s="368"/>
      <c r="CK94" s="368"/>
      <c r="CL94" s="368"/>
      <c r="CM94" s="368"/>
      <c r="CN94" s="368"/>
      <c r="CO94" s="368"/>
      <c r="CP94" s="368"/>
      <c r="CQ94" s="368"/>
      <c r="CR94" s="369"/>
      <c r="CS94" s="369"/>
      <c r="CT94" s="369"/>
      <c r="CU94" s="369"/>
      <c r="CV94" s="369"/>
      <c r="CW94" s="369"/>
      <c r="CX94" s="369"/>
    </row>
    <row r="95" spans="1:102" s="253" customFormat="1" ht="99" customHeight="1">
      <c r="A95" s="234"/>
      <c r="B95" s="235"/>
      <c r="C95" s="235"/>
      <c r="D95" s="235"/>
      <c r="E95" s="235"/>
      <c r="F95" s="236"/>
      <c r="G95" s="237"/>
      <c r="H95" s="238"/>
      <c r="I95" s="355" t="s">
        <v>281</v>
      </c>
      <c r="J95" s="240"/>
      <c r="K95" s="241"/>
      <c r="L95" s="241"/>
      <c r="M95" s="241"/>
      <c r="N95" s="241"/>
      <c r="O95" s="242"/>
      <c r="P95" s="242"/>
      <c r="Q95" s="242"/>
      <c r="R95" s="241"/>
      <c r="S95" s="241"/>
      <c r="T95" s="241"/>
      <c r="U95" s="241"/>
      <c r="V95" s="241"/>
      <c r="W95" s="243"/>
      <c r="X95" s="243"/>
      <c r="Y95" s="243"/>
      <c r="Z95" s="243"/>
      <c r="AA95" s="240"/>
      <c r="AB95" s="240"/>
      <c r="AC95" s="240"/>
      <c r="AD95" s="240"/>
      <c r="AE95" s="240"/>
      <c r="AF95" s="240"/>
      <c r="AG95" s="240"/>
      <c r="AH95" s="240"/>
      <c r="AI95" s="240"/>
      <c r="AJ95" s="240"/>
      <c r="AK95" s="240"/>
      <c r="AL95" s="240"/>
      <c r="AM95" s="240"/>
      <c r="AN95" s="240"/>
      <c r="AO95" s="240"/>
      <c r="AP95" s="244"/>
      <c r="AQ95" s="245"/>
      <c r="AR95" s="245"/>
      <c r="AS95" s="245"/>
      <c r="AT95" s="245"/>
      <c r="AU95" s="246"/>
      <c r="AV95" s="246"/>
      <c r="AW95" s="247"/>
      <c r="AX95" s="247"/>
      <c r="AY95" s="244"/>
      <c r="AZ95" s="244"/>
      <c r="BA95" s="248"/>
      <c r="BB95" s="248"/>
      <c r="BC95" s="249"/>
      <c r="BD95" s="250"/>
      <c r="BE95" s="251"/>
      <c r="BF95" s="251"/>
      <c r="BG95" s="251"/>
      <c r="BH95" s="251"/>
      <c r="BI95" s="251"/>
      <c r="BJ95" s="252"/>
      <c r="BK95" s="243"/>
      <c r="BL95" s="243"/>
      <c r="BM95" s="243"/>
      <c r="BN95" s="243"/>
      <c r="BO95" s="243"/>
      <c r="BP95" s="243"/>
      <c r="BQ95" s="243"/>
      <c r="BR95" s="243"/>
      <c r="BS95" s="243"/>
      <c r="BT95" s="243"/>
      <c r="BU95" s="243"/>
      <c r="BV95" s="243"/>
      <c r="BW95" s="243"/>
      <c r="BX95" s="252"/>
      <c r="BY95" s="252"/>
      <c r="BZ95" s="252"/>
      <c r="CA95" s="252"/>
      <c r="CB95" s="252"/>
      <c r="CC95" s="252"/>
      <c r="CD95" s="252"/>
      <c r="CE95" s="252"/>
      <c r="CF95" s="252"/>
      <c r="CG95" s="252"/>
      <c r="CH95" s="252"/>
      <c r="CI95" s="252"/>
      <c r="CJ95" s="252"/>
      <c r="CK95" s="252"/>
      <c r="CL95" s="252"/>
      <c r="CM95" s="252"/>
      <c r="CN95" s="252"/>
      <c r="CO95" s="252"/>
      <c r="CP95" s="252"/>
      <c r="CQ95" s="252"/>
    </row>
    <row r="96" spans="1:102" s="253" customFormat="1" ht="6.75" customHeight="1">
      <c r="A96" s="234"/>
      <c r="B96" s="235"/>
      <c r="C96" s="235"/>
      <c r="D96" s="235"/>
      <c r="E96" s="235"/>
      <c r="F96" s="236"/>
      <c r="G96" s="237"/>
      <c r="H96" s="238"/>
      <c r="I96" s="239" t="s">
        <v>26</v>
      </c>
      <c r="J96" s="240"/>
      <c r="K96" s="241"/>
      <c r="L96" s="241"/>
      <c r="M96" s="241"/>
      <c r="N96" s="241"/>
      <c r="O96" s="242"/>
      <c r="P96" s="242"/>
      <c r="Q96" s="242"/>
      <c r="R96" s="241"/>
      <c r="S96" s="241"/>
      <c r="T96" s="241"/>
      <c r="U96" s="241"/>
      <c r="V96" s="241"/>
      <c r="W96" s="243"/>
      <c r="X96" s="243"/>
      <c r="Y96" s="243"/>
      <c r="Z96" s="243"/>
      <c r="AA96" s="240"/>
      <c r="AB96" s="240"/>
      <c r="AC96" s="240"/>
      <c r="AD96" s="240"/>
      <c r="AE96" s="242"/>
      <c r="AF96" s="242"/>
      <c r="AG96" s="242"/>
      <c r="AH96" s="242"/>
      <c r="AI96" s="242"/>
      <c r="AJ96" s="242"/>
      <c r="AK96" s="242"/>
      <c r="AL96" s="240"/>
      <c r="AM96" s="240"/>
      <c r="AN96" s="240"/>
      <c r="AO96" s="240"/>
      <c r="AP96" s="244"/>
      <c r="AQ96" s="245"/>
      <c r="AR96" s="245"/>
      <c r="AS96" s="245"/>
      <c r="AT96" s="245"/>
      <c r="AU96" s="246"/>
      <c r="AV96" s="246"/>
      <c r="AW96" s="247"/>
      <c r="AX96" s="247"/>
      <c r="AY96" s="244"/>
      <c r="AZ96" s="244"/>
      <c r="BA96" s="248"/>
      <c r="BB96" s="248"/>
      <c r="BC96" s="249"/>
      <c r="BD96" s="250"/>
      <c r="BE96" s="251"/>
      <c r="BF96" s="251"/>
      <c r="BG96" s="251"/>
      <c r="BH96" s="251"/>
      <c r="BI96" s="251"/>
      <c r="BJ96" s="252"/>
      <c r="BK96" s="243"/>
      <c r="BL96" s="243"/>
      <c r="BM96" s="243"/>
      <c r="BN96" s="243"/>
      <c r="BO96" s="243"/>
      <c r="BP96" s="243"/>
      <c r="BQ96" s="243"/>
      <c r="BR96" s="243"/>
      <c r="BS96" s="243"/>
      <c r="BT96" s="243"/>
      <c r="BU96" s="243"/>
      <c r="BV96" s="243"/>
      <c r="BW96" s="243"/>
      <c r="BX96" s="252"/>
      <c r="BY96" s="252"/>
      <c r="BZ96" s="252"/>
      <c r="CA96" s="252"/>
      <c r="CB96" s="252"/>
      <c r="CC96" s="252"/>
      <c r="CD96" s="252"/>
      <c r="CE96" s="252"/>
      <c r="CF96" s="252"/>
      <c r="CG96" s="252"/>
      <c r="CH96" s="252"/>
      <c r="CI96" s="252"/>
      <c r="CJ96" s="252"/>
      <c r="CK96" s="243"/>
      <c r="CL96" s="243"/>
      <c r="CM96" s="243"/>
      <c r="CN96" s="243"/>
      <c r="CO96" s="243"/>
      <c r="CP96" s="243"/>
      <c r="CQ96" s="243"/>
    </row>
    <row r="97" spans="1:95" s="253" customFormat="1" ht="22.5">
      <c r="A97" s="234"/>
      <c r="B97" s="235"/>
      <c r="C97" s="235"/>
      <c r="D97" s="235"/>
      <c r="E97" s="235"/>
      <c r="F97" s="236"/>
      <c r="G97" s="237"/>
      <c r="H97" s="238"/>
      <c r="I97" s="356" t="s">
        <v>282</v>
      </c>
      <c r="J97" s="240"/>
      <c r="K97" s="254"/>
      <c r="L97" s="254"/>
      <c r="M97" s="254"/>
      <c r="N97" s="254"/>
      <c r="O97" s="255"/>
      <c r="P97" s="255"/>
      <c r="Q97" s="255"/>
      <c r="R97" s="254"/>
      <c r="S97" s="254"/>
      <c r="T97" s="254"/>
      <c r="U97" s="254"/>
      <c r="V97" s="254"/>
      <c r="W97" s="256"/>
      <c r="X97" s="256"/>
      <c r="Y97" s="256"/>
      <c r="Z97" s="256"/>
      <c r="AA97" s="257"/>
      <c r="AB97" s="257"/>
      <c r="AC97" s="257"/>
      <c r="AD97" s="257"/>
      <c r="AE97" s="254"/>
      <c r="AF97" s="254"/>
      <c r="AG97" s="254"/>
      <c r="AH97" s="254"/>
      <c r="AI97" s="254"/>
      <c r="AJ97" s="254"/>
      <c r="AK97" s="254"/>
      <c r="AL97" s="240"/>
      <c r="AM97" s="240"/>
      <c r="AN97" s="240"/>
      <c r="AO97" s="240"/>
      <c r="AP97" s="244"/>
      <c r="AQ97" s="258"/>
      <c r="AR97" s="258"/>
      <c r="AS97" s="258"/>
      <c r="AT97" s="258"/>
      <c r="AU97" s="246"/>
      <c r="AV97" s="246"/>
      <c r="AW97" s="247"/>
      <c r="AX97" s="247"/>
      <c r="AY97" s="244"/>
      <c r="AZ97" s="244"/>
      <c r="BA97" s="248"/>
      <c r="BB97" s="248"/>
      <c r="BC97" s="249"/>
      <c r="BD97" s="259"/>
      <c r="BE97" s="251"/>
      <c r="BF97" s="251"/>
      <c r="BG97" s="251"/>
      <c r="BH97" s="251"/>
      <c r="BI97" s="251"/>
      <c r="BJ97" s="252"/>
      <c r="BK97" s="243"/>
      <c r="BL97" s="243"/>
      <c r="BM97" s="243"/>
      <c r="BN97" s="243"/>
      <c r="BO97" s="243"/>
      <c r="BP97" s="243"/>
      <c r="BQ97" s="243"/>
      <c r="BR97" s="243"/>
      <c r="BS97" s="243"/>
      <c r="BT97" s="243"/>
      <c r="BU97" s="243"/>
      <c r="BV97" s="243"/>
      <c r="BW97" s="243"/>
      <c r="CK97" s="243"/>
      <c r="CL97" s="243"/>
      <c r="CM97" s="243"/>
      <c r="CN97" s="243"/>
      <c r="CO97" s="243"/>
      <c r="CP97" s="243"/>
      <c r="CQ97" s="243"/>
    </row>
    <row r="98" spans="1:95" s="253" customFormat="1">
      <c r="A98" s="234"/>
      <c r="B98" s="235"/>
      <c r="C98" s="235"/>
      <c r="D98" s="235"/>
      <c r="E98" s="235"/>
      <c r="F98" s="236"/>
      <c r="G98" s="237"/>
      <c r="H98" s="238"/>
      <c r="I98" s="356" t="s">
        <v>283</v>
      </c>
      <c r="J98" s="240"/>
      <c r="K98" s="254"/>
      <c r="L98" s="254"/>
      <c r="M98" s="254"/>
      <c r="N98" s="254"/>
      <c r="O98" s="255"/>
      <c r="P98" s="255"/>
      <c r="Q98" s="255"/>
      <c r="R98" s="254"/>
      <c r="S98" s="254"/>
      <c r="T98" s="254"/>
      <c r="U98" s="256"/>
      <c r="V98" s="256"/>
      <c r="W98" s="256"/>
      <c r="X98" s="256"/>
      <c r="Y98" s="256"/>
      <c r="Z98" s="256"/>
      <c r="AA98" s="240"/>
      <c r="AB98" s="240"/>
      <c r="AC98" s="240"/>
      <c r="AD98" s="240"/>
      <c r="AE98" s="256"/>
      <c r="AF98" s="256"/>
      <c r="AG98" s="256"/>
      <c r="AH98" s="256"/>
      <c r="AI98" s="256"/>
      <c r="AJ98" s="256"/>
      <c r="AK98" s="256"/>
      <c r="AL98" s="240"/>
      <c r="AM98" s="240"/>
      <c r="AN98" s="240"/>
      <c r="AO98" s="240"/>
      <c r="AP98" s="244"/>
      <c r="AQ98" s="258"/>
      <c r="AR98" s="258"/>
      <c r="AS98" s="258"/>
      <c r="AT98" s="258"/>
      <c r="AU98" s="246"/>
      <c r="AV98" s="246"/>
      <c r="AW98" s="247"/>
      <c r="AX98" s="247"/>
      <c r="AY98" s="244"/>
      <c r="AZ98" s="244"/>
      <c r="BA98" s="248"/>
      <c r="BB98" s="248"/>
      <c r="BC98" s="249"/>
      <c r="BD98" s="259"/>
      <c r="BE98" s="251"/>
      <c r="BF98" s="251"/>
      <c r="BG98" s="251"/>
      <c r="BH98" s="251"/>
      <c r="BI98" s="251"/>
      <c r="BJ98" s="252"/>
      <c r="BK98" s="243"/>
      <c r="BL98" s="243"/>
      <c r="BM98" s="243"/>
      <c r="BN98" s="243"/>
      <c r="BO98" s="243"/>
      <c r="BP98" s="243"/>
      <c r="BQ98" s="243"/>
      <c r="BR98" s="243"/>
      <c r="BS98" s="243"/>
      <c r="BT98" s="243"/>
      <c r="BU98" s="243"/>
      <c r="BV98" s="243"/>
      <c r="BW98" s="243"/>
      <c r="CK98" s="243"/>
      <c r="CL98" s="243"/>
      <c r="CM98" s="243"/>
      <c r="CN98" s="243"/>
      <c r="CO98" s="243"/>
      <c r="CP98" s="243"/>
      <c r="CQ98" s="243"/>
    </row>
    <row r="99" spans="1:95" s="253" customFormat="1" ht="6.75" customHeight="1">
      <c r="A99" s="234"/>
      <c r="B99" s="235"/>
      <c r="C99" s="235"/>
      <c r="D99" s="235"/>
      <c r="E99" s="235"/>
      <c r="F99" s="236"/>
      <c r="G99" s="237"/>
      <c r="H99" s="238"/>
      <c r="I99" s="239"/>
      <c r="J99" s="240"/>
      <c r="K99" s="254"/>
      <c r="L99" s="254"/>
      <c r="M99" s="254"/>
      <c r="N99" s="254"/>
      <c r="O99" s="255"/>
      <c r="P99" s="255"/>
      <c r="Q99" s="255"/>
      <c r="R99" s="254"/>
      <c r="S99" s="254"/>
      <c r="T99" s="254"/>
      <c r="U99" s="256"/>
      <c r="V99" s="256"/>
      <c r="W99" s="256"/>
      <c r="X99" s="256"/>
      <c r="Y99" s="256"/>
      <c r="Z99" s="256"/>
      <c r="AA99" s="240"/>
      <c r="AB99" s="240"/>
      <c r="AC99" s="240"/>
      <c r="AD99" s="240"/>
      <c r="AE99" s="256"/>
      <c r="AF99" s="254"/>
      <c r="AG99" s="254"/>
      <c r="AH99" s="254"/>
      <c r="AI99" s="254"/>
      <c r="AJ99" s="254"/>
      <c r="AK99" s="254"/>
      <c r="AL99" s="240"/>
      <c r="AM99" s="240"/>
      <c r="AN99" s="240"/>
      <c r="AO99" s="240"/>
      <c r="AP99" s="244"/>
      <c r="AQ99" s="258"/>
      <c r="AR99" s="258"/>
      <c r="AS99" s="258"/>
      <c r="AT99" s="258"/>
      <c r="AU99" s="246"/>
      <c r="AV99" s="246"/>
      <c r="AW99" s="247"/>
      <c r="AX99" s="247"/>
      <c r="AY99" s="244"/>
      <c r="AZ99" s="244"/>
      <c r="BA99" s="248"/>
      <c r="BB99" s="248"/>
      <c r="BC99" s="249"/>
      <c r="BD99" s="259"/>
      <c r="BE99" s="251"/>
      <c r="BF99" s="251"/>
      <c r="BG99" s="251"/>
      <c r="BH99" s="251"/>
      <c r="BI99" s="251"/>
      <c r="BJ99" s="252"/>
      <c r="BK99" s="243"/>
      <c r="BL99" s="243"/>
      <c r="BM99" s="243"/>
      <c r="BN99" s="243"/>
      <c r="BO99" s="243"/>
      <c r="BP99" s="243"/>
      <c r="BQ99" s="243"/>
      <c r="BR99" s="243"/>
      <c r="BS99" s="243"/>
      <c r="BT99" s="243"/>
      <c r="BU99" s="243"/>
      <c r="BV99" s="243"/>
      <c r="BW99" s="243"/>
    </row>
    <row r="100" spans="1:95" s="253" customFormat="1">
      <c r="A100" s="260"/>
      <c r="B100" s="260" t="s">
        <v>26</v>
      </c>
      <c r="C100" s="260"/>
      <c r="D100" s="260"/>
      <c r="E100" s="260"/>
      <c r="F100" s="260"/>
      <c r="G100" s="261"/>
      <c r="H100" s="261"/>
      <c r="I100" s="357" t="s">
        <v>284</v>
      </c>
      <c r="J100" s="254"/>
      <c r="K100" s="254"/>
      <c r="L100" s="254"/>
      <c r="M100" s="254"/>
      <c r="N100" s="254"/>
      <c r="O100" s="255"/>
      <c r="P100" s="255"/>
      <c r="Q100" s="255"/>
      <c r="R100" s="254"/>
      <c r="S100" s="254"/>
      <c r="T100" s="254"/>
      <c r="U100" s="254"/>
      <c r="V100" s="254"/>
      <c r="W100" s="256"/>
      <c r="X100" s="256"/>
      <c r="Y100" s="256"/>
      <c r="Z100" s="256"/>
      <c r="AA100" s="254"/>
      <c r="AB100" s="254"/>
      <c r="AC100" s="254"/>
      <c r="AD100" s="254"/>
      <c r="AE100" s="254"/>
      <c r="AF100" s="254"/>
      <c r="AG100" s="254"/>
      <c r="AH100" s="254"/>
      <c r="AI100" s="254"/>
      <c r="AJ100" s="254"/>
      <c r="AK100" s="254"/>
      <c r="AL100" s="254"/>
      <c r="AM100" s="254"/>
      <c r="AN100" s="254"/>
      <c r="AO100" s="254"/>
      <c r="AP100" s="262"/>
      <c r="AQ100" s="258"/>
      <c r="AR100" s="258"/>
      <c r="AS100" s="258"/>
      <c r="AT100" s="258"/>
      <c r="AU100" s="260"/>
      <c r="AV100" s="260"/>
      <c r="AW100" s="263"/>
      <c r="AX100" s="260"/>
      <c r="AY100" s="260"/>
      <c r="AZ100" s="260"/>
      <c r="BA100" s="264"/>
      <c r="BB100" s="264"/>
      <c r="BC100" s="260"/>
      <c r="BD100" s="265"/>
      <c r="BE100" s="260"/>
      <c r="BF100" s="260"/>
      <c r="BG100" s="260"/>
      <c r="BH100" s="260"/>
      <c r="BI100" s="260"/>
      <c r="BJ100" s="252"/>
    </row>
    <row r="101" spans="1:95" s="253" customFormat="1">
      <c r="A101" s="260"/>
      <c r="B101" s="266" t="s">
        <v>26</v>
      </c>
      <c r="C101" s="266"/>
      <c r="D101" s="266"/>
      <c r="E101" s="266"/>
      <c r="F101" s="260"/>
      <c r="G101" s="260"/>
      <c r="H101" s="260"/>
      <c r="I101" s="357" t="s">
        <v>285</v>
      </c>
      <c r="J101" s="268"/>
      <c r="K101" s="268"/>
      <c r="L101" s="268"/>
      <c r="M101" s="268"/>
      <c r="N101" s="268"/>
      <c r="O101" s="268"/>
      <c r="P101" s="268"/>
      <c r="Q101" s="268"/>
      <c r="R101" s="268"/>
      <c r="S101" s="268"/>
      <c r="T101" s="268"/>
      <c r="U101" s="268"/>
      <c r="V101" s="268"/>
      <c r="W101" s="268"/>
      <c r="X101" s="268"/>
      <c r="Y101" s="268"/>
      <c r="Z101" s="268"/>
      <c r="AA101" s="268"/>
      <c r="AB101" s="268"/>
      <c r="AC101" s="268"/>
      <c r="AD101" s="268"/>
      <c r="AE101" s="269"/>
      <c r="AF101" s="269"/>
      <c r="AG101" s="269"/>
      <c r="AH101" s="269"/>
      <c r="AI101" s="269"/>
      <c r="AJ101" s="269"/>
      <c r="AK101" s="269"/>
      <c r="AL101" s="268"/>
      <c r="AM101" s="268"/>
      <c r="AN101" s="268"/>
      <c r="AO101" s="268"/>
      <c r="AP101" s="270"/>
      <c r="AQ101" s="258"/>
      <c r="AR101" s="258"/>
      <c r="AS101" s="258"/>
      <c r="AT101" s="258"/>
      <c r="AU101" s="260"/>
      <c r="AV101" s="260"/>
      <c r="AW101" s="260"/>
      <c r="AX101" s="260"/>
      <c r="AY101" s="260"/>
      <c r="AZ101" s="260"/>
      <c r="BA101" s="260"/>
      <c r="BB101" s="260"/>
      <c r="BC101" s="260"/>
      <c r="BD101" s="265"/>
      <c r="BE101" s="260"/>
      <c r="BF101" s="260"/>
      <c r="BG101" s="260"/>
      <c r="BH101" s="260"/>
      <c r="BI101" s="260"/>
      <c r="BJ101" s="252"/>
    </row>
    <row r="102" spans="1:95" s="253" customFormat="1">
      <c r="A102" s="260"/>
      <c r="B102" s="266"/>
      <c r="C102" s="266"/>
      <c r="D102" s="266"/>
      <c r="E102" s="266"/>
      <c r="F102" s="260"/>
      <c r="G102" s="260"/>
      <c r="H102" s="260"/>
      <c r="I102" s="312"/>
      <c r="J102" s="268"/>
      <c r="K102" s="268"/>
      <c r="L102" s="268"/>
      <c r="M102" s="268"/>
      <c r="N102" s="268"/>
      <c r="O102" s="268"/>
      <c r="P102" s="268"/>
      <c r="Q102" s="268"/>
      <c r="R102" s="268"/>
      <c r="S102" s="268"/>
      <c r="T102" s="268"/>
      <c r="U102" s="268"/>
      <c r="V102" s="268"/>
      <c r="W102" s="268"/>
      <c r="X102" s="268"/>
      <c r="Y102" s="268"/>
      <c r="Z102" s="268"/>
      <c r="AA102" s="268"/>
      <c r="AB102" s="268"/>
      <c r="AC102" s="268"/>
      <c r="AD102" s="268"/>
      <c r="AE102" s="269"/>
      <c r="AF102" s="269"/>
      <c r="AG102" s="269"/>
      <c r="AH102" s="269"/>
      <c r="AI102" s="269"/>
      <c r="AJ102" s="269"/>
      <c r="AK102" s="269"/>
      <c r="AL102" s="268"/>
      <c r="AM102" s="268"/>
      <c r="AN102" s="268"/>
      <c r="AO102" s="268"/>
      <c r="AP102" s="270"/>
      <c r="AQ102" s="258"/>
      <c r="AR102" s="258"/>
      <c r="AS102" s="258"/>
      <c r="AT102" s="258"/>
      <c r="AU102" s="260"/>
      <c r="AV102" s="260"/>
      <c r="AW102" s="260"/>
      <c r="AX102" s="260"/>
      <c r="AY102" s="260"/>
      <c r="AZ102" s="260"/>
      <c r="BA102" s="260"/>
      <c r="BB102" s="260"/>
      <c r="BC102" s="260"/>
      <c r="BD102" s="265"/>
      <c r="BE102" s="260"/>
      <c r="BF102" s="260"/>
      <c r="BG102" s="260"/>
      <c r="BH102" s="260"/>
      <c r="BI102" s="260"/>
      <c r="BJ102" s="252"/>
    </row>
    <row r="103" spans="1:95" s="229" customFormat="1">
      <c r="A103" s="271"/>
      <c r="B103" s="272" t="s">
        <v>26</v>
      </c>
      <c r="C103" s="272"/>
      <c r="D103" s="272"/>
      <c r="E103" s="272"/>
      <c r="F103" s="273"/>
      <c r="G103" s="274">
        <f>SUBTOTAL(3,G4:G93)</f>
        <v>1</v>
      </c>
      <c r="H103" s="274"/>
      <c r="I103" s="275" t="s">
        <v>81</v>
      </c>
      <c r="J103" s="274">
        <f t="shared" ref="J103:AP103" si="267">SUBTOTAL(9,J4:J93)</f>
        <v>59079</v>
      </c>
      <c r="K103" s="274">
        <f t="shared" si="267"/>
        <v>90140</v>
      </c>
      <c r="L103" s="274">
        <f t="shared" si="267"/>
        <v>652382</v>
      </c>
      <c r="M103" s="274">
        <f t="shared" si="267"/>
        <v>71371</v>
      </c>
      <c r="N103" s="274">
        <f t="shared" si="267"/>
        <v>38328</v>
      </c>
      <c r="O103" s="274">
        <f t="shared" si="267"/>
        <v>911300</v>
      </c>
      <c r="P103" s="274">
        <f t="shared" si="267"/>
        <v>911300</v>
      </c>
      <c r="Q103" s="274">
        <f t="shared" si="267"/>
        <v>0</v>
      </c>
      <c r="R103" s="274">
        <f t="shared" si="267"/>
        <v>0</v>
      </c>
      <c r="S103" s="274">
        <f t="shared" si="267"/>
        <v>0</v>
      </c>
      <c r="T103" s="274">
        <f t="shared" si="267"/>
        <v>911300</v>
      </c>
      <c r="U103" s="274">
        <f t="shared" si="267"/>
        <v>0</v>
      </c>
      <c r="V103" s="274">
        <f t="shared" si="267"/>
        <v>0</v>
      </c>
      <c r="W103" s="274">
        <f t="shared" si="267"/>
        <v>6338</v>
      </c>
      <c r="X103" s="274">
        <f t="shared" si="267"/>
        <v>0</v>
      </c>
      <c r="Y103" s="274">
        <f t="shared" si="267"/>
        <v>0</v>
      </c>
      <c r="Z103" s="274">
        <f t="shared" si="267"/>
        <v>0</v>
      </c>
      <c r="AA103" s="274">
        <f t="shared" si="267"/>
        <v>0</v>
      </c>
      <c r="AB103" s="274">
        <f t="shared" si="267"/>
        <v>0</v>
      </c>
      <c r="AC103" s="274">
        <f t="shared" si="267"/>
        <v>0</v>
      </c>
      <c r="AD103" s="274">
        <f t="shared" si="267"/>
        <v>0</v>
      </c>
      <c r="AE103" s="274">
        <f t="shared" si="267"/>
        <v>0</v>
      </c>
      <c r="AF103" s="274">
        <f t="shared" si="267"/>
        <v>911300</v>
      </c>
      <c r="AG103" s="274">
        <f t="shared" si="267"/>
        <v>0</v>
      </c>
      <c r="AH103" s="274">
        <f t="shared" si="267"/>
        <v>0</v>
      </c>
      <c r="AI103" s="274">
        <f t="shared" si="267"/>
        <v>6338</v>
      </c>
      <c r="AJ103" s="274">
        <f t="shared" si="267"/>
        <v>917638</v>
      </c>
      <c r="AK103" s="274">
        <f t="shared" si="267"/>
        <v>917638</v>
      </c>
      <c r="AL103" s="274">
        <f t="shared" si="267"/>
        <v>56068</v>
      </c>
      <c r="AM103" s="274">
        <f t="shared" si="267"/>
        <v>175267</v>
      </c>
      <c r="AN103" s="274">
        <f t="shared" si="267"/>
        <v>0</v>
      </c>
      <c r="AO103" s="274">
        <f t="shared" si="267"/>
        <v>0</v>
      </c>
      <c r="AP103" s="276">
        <f t="shared" si="267"/>
        <v>1148973</v>
      </c>
      <c r="AQ103" s="277"/>
      <c r="AR103" s="277"/>
      <c r="AS103" s="277"/>
      <c r="AT103" s="277"/>
      <c r="AU103" s="278"/>
      <c r="AV103" s="279"/>
      <c r="AW103" s="280"/>
      <c r="AX103" s="279"/>
      <c r="AY103" s="276">
        <f>SUBTOTAL(9,AY4:AY93)</f>
        <v>1148973</v>
      </c>
      <c r="AZ103" s="276">
        <f>SUBTOTAL(9,AZ4:AZ93)</f>
        <v>0</v>
      </c>
      <c r="BA103" s="279">
        <f>SUBTOTAL(9,BA4:BA93)</f>
        <v>0.56999999999999995</v>
      </c>
      <c r="BB103" s="279">
        <f>SUBTOTAL(9,BB4:BB93)</f>
        <v>2388</v>
      </c>
      <c r="BC103" s="281" t="e">
        <f t="shared" ref="BC103:BI103" si="268">SUBTOTAL(1,BC4:BC93)</f>
        <v>#DIV/0!</v>
      </c>
      <c r="BD103" s="282" t="e">
        <f t="shared" si="268"/>
        <v>#DIV/0!</v>
      </c>
      <c r="BE103" s="283" t="e">
        <f t="shared" si="268"/>
        <v>#DIV/0!</v>
      </c>
      <c r="BF103" s="283" t="e">
        <f t="shared" si="268"/>
        <v>#DIV/0!</v>
      </c>
      <c r="BG103" s="283" t="e">
        <f t="shared" si="268"/>
        <v>#DIV/0!</v>
      </c>
      <c r="BH103" s="283" t="e">
        <f t="shared" si="268"/>
        <v>#DIV/0!</v>
      </c>
      <c r="BI103" s="283" t="e">
        <f t="shared" si="268"/>
        <v>#DIV/0!</v>
      </c>
      <c r="BJ103" s="227"/>
      <c r="BK103" s="284">
        <f>SUBTOTAL(9,BK4:BK93)</f>
        <v>0</v>
      </c>
      <c r="BL103" s="284">
        <f>SUBTOTAL(9,BL4:BL93)</f>
        <v>0</v>
      </c>
      <c r="BM103" s="284">
        <f>SUBTOTAL(9,BM4:BM93)</f>
        <v>0</v>
      </c>
      <c r="BN103" s="284"/>
      <c r="BO103" s="284">
        <f>SUBTOTAL(9,BO4:BO93)</f>
        <v>95.04</v>
      </c>
      <c r="BP103" s="284"/>
      <c r="BQ103" s="284"/>
      <c r="BR103" s="284">
        <f t="shared" ref="BR103:CM103" si="269">SUBTOTAL(9,BR4:BR93)</f>
        <v>0</v>
      </c>
      <c r="BS103" s="284">
        <f t="shared" si="269"/>
        <v>0</v>
      </c>
      <c r="BT103" s="284">
        <f t="shared" si="269"/>
        <v>0</v>
      </c>
      <c r="BU103" s="284">
        <f t="shared" si="269"/>
        <v>0</v>
      </c>
      <c r="BV103" s="284">
        <f t="shared" si="269"/>
        <v>0</v>
      </c>
      <c r="BW103" s="284"/>
      <c r="BX103" s="284">
        <f t="shared" si="269"/>
        <v>0</v>
      </c>
      <c r="BY103" s="284">
        <f t="shared" si="269"/>
        <v>0</v>
      </c>
      <c r="BZ103" s="284">
        <f t="shared" ref="BZ103" si="270">SUBTOTAL(9,BZ4:BZ93)</f>
        <v>0</v>
      </c>
      <c r="CA103" s="284">
        <f t="shared" si="269"/>
        <v>0</v>
      </c>
      <c r="CB103" s="284">
        <f t="shared" si="269"/>
        <v>0</v>
      </c>
      <c r="CC103" s="284">
        <f t="shared" si="269"/>
        <v>0</v>
      </c>
      <c r="CD103" s="284">
        <f t="shared" si="269"/>
        <v>0</v>
      </c>
      <c r="CE103" s="284">
        <f t="shared" si="269"/>
        <v>0</v>
      </c>
      <c r="CF103" s="284">
        <f t="shared" si="269"/>
        <v>0</v>
      </c>
      <c r="CG103" s="284">
        <f t="shared" si="269"/>
        <v>0</v>
      </c>
      <c r="CH103" s="284">
        <f t="shared" si="269"/>
        <v>0</v>
      </c>
      <c r="CI103" s="284">
        <f t="shared" si="269"/>
        <v>0</v>
      </c>
      <c r="CJ103" s="284">
        <f t="shared" si="269"/>
        <v>0</v>
      </c>
      <c r="CK103" s="284">
        <f t="shared" si="269"/>
        <v>0</v>
      </c>
      <c r="CL103" s="284">
        <f t="shared" si="269"/>
        <v>0</v>
      </c>
      <c r="CM103" s="284">
        <f t="shared" si="269"/>
        <v>0</v>
      </c>
      <c r="CN103" s="284"/>
      <c r="CO103" s="284">
        <f>SUBTOTAL(9,CO4:CO93)</f>
        <v>0</v>
      </c>
      <c r="CP103" s="284">
        <f>SUBTOTAL(9,CP4:CP93)</f>
        <v>0</v>
      </c>
      <c r="CQ103" s="284">
        <f>SUBTOTAL(9,CQ4:CQ93)</f>
        <v>0</v>
      </c>
    </row>
    <row r="104" spans="1:95">
      <c r="A104" s="285" t="s">
        <v>26</v>
      </c>
      <c r="I104" s="287"/>
    </row>
    <row r="105" spans="1:95">
      <c r="A105" s="260"/>
      <c r="B105" s="260" t="s">
        <v>26</v>
      </c>
      <c r="C105" s="260"/>
      <c r="D105" s="260"/>
      <c r="E105" s="260"/>
      <c r="F105" s="260" t="s">
        <v>26</v>
      </c>
      <c r="G105" s="260"/>
      <c r="H105" s="260"/>
      <c r="I105" s="267"/>
      <c r="J105" s="268"/>
      <c r="K105" s="268"/>
      <c r="L105" s="268"/>
      <c r="M105" s="268"/>
      <c r="N105" s="268"/>
      <c r="O105" s="268"/>
      <c r="P105" s="268"/>
      <c r="Q105" s="268"/>
      <c r="R105" s="268"/>
      <c r="S105" s="268"/>
      <c r="T105" s="268"/>
      <c r="U105" s="268"/>
      <c r="V105" s="268"/>
      <c r="W105" s="268"/>
      <c r="X105" s="268"/>
      <c r="Y105" s="268"/>
      <c r="Z105" s="268"/>
      <c r="AA105" s="268"/>
      <c r="AB105" s="268"/>
      <c r="AC105" s="268"/>
      <c r="AD105" s="268"/>
      <c r="AE105" s="269"/>
      <c r="AF105" s="269"/>
      <c r="AG105" s="269"/>
      <c r="AH105" s="269"/>
      <c r="AI105" s="269"/>
      <c r="AJ105" s="269"/>
      <c r="AK105" s="269"/>
      <c r="AX105" s="260"/>
      <c r="AY105" s="293"/>
      <c r="AZ105" s="264"/>
      <c r="BA105" s="260"/>
      <c r="BB105" s="260"/>
      <c r="BC105" s="260"/>
      <c r="BD105" s="265"/>
      <c r="BE105" s="260"/>
      <c r="BF105" s="260"/>
      <c r="BG105" s="260"/>
      <c r="BH105" s="260"/>
      <c r="BI105" s="260"/>
      <c r="BX105" s="294"/>
      <c r="BY105" s="294"/>
      <c r="BZ105" s="294"/>
      <c r="CA105" s="294"/>
      <c r="CB105" s="294"/>
      <c r="CC105" s="294"/>
      <c r="CD105" s="294"/>
      <c r="CE105" s="294"/>
      <c r="CF105" s="294"/>
      <c r="CG105" s="294"/>
      <c r="CH105" s="294"/>
      <c r="CI105" s="294"/>
      <c r="CJ105" s="294"/>
      <c r="CK105" s="294"/>
      <c r="CL105" s="294"/>
      <c r="CM105" s="294"/>
      <c r="CN105" s="294"/>
      <c r="CO105" s="294"/>
      <c r="CP105" s="294"/>
      <c r="CQ105" s="294"/>
    </row>
    <row r="106" spans="1:95">
      <c r="AY106" s="296"/>
      <c r="AZ106" s="297"/>
    </row>
    <row r="107" spans="1:95">
      <c r="AY107" s="298"/>
    </row>
    <row r="108" spans="1:95">
      <c r="AY108" s="299"/>
    </row>
    <row r="109" spans="1:95">
      <c r="AY109" s="299"/>
    </row>
    <row r="115" spans="9:9">
      <c r="I115" s="300"/>
    </row>
  </sheetData>
  <sheetProtection password="CAE6" sheet="1" objects="1" scenarios="1" formatCells="0" formatColumns="0" formatRows="0" autoFilter="0"/>
  <autoFilter ref="A3:CQ96"/>
  <sortState ref="I20:I41">
    <sortCondition ref="I20"/>
  </sortState>
  <customSheetViews>
    <customSheetView guid="{E031E075-6987-4F32-9116-EC6B3E9AF434}" scale="115" showPageBreaks="1" showGridLines="0" zeroValues="0" fitToPage="1" printArea="1" showAutoFilter="1" hiddenRows="1">
      <pane xSplit="9" ySplit="3" topLeftCell="BL183" activePane="bottomRight" state="frozen"/>
      <selection pane="bottomRight" activeCell="I187" sqref="I187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1"/>
      <headerFooter alignWithMargins="0">
        <oddFooter>&amp;L&amp;T &amp;D&amp;R&amp;"Times New Roman,обычный"&amp;9&amp;P</oddFooter>
      </headerFooter>
      <autoFilter ref="B1:GS1"/>
    </customSheetView>
    <customSheetView guid="{67AC2CBC-2876-4E14-8EE2-582C5F737BC3}" scale="115" showGridLines="0" zeroValues="0" fitToPage="1" filter="1" showAutoFilter="1" hiddenColumns="1" showRuler="0">
      <pane xSplit="9" ySplit="3" topLeftCell="J189" activePane="bottomRight" state="frozen"/>
      <selection pane="bottomRight" activeCell="AQ189" sqref="AQ189"/>
      <pageMargins left="0.19685039370078741" right="0.19685039370078741" top="0.39370078740157483" bottom="0.19685039370078741" header="0.39370078740157483" footer="0.27559055118110237"/>
      <printOptions horizontalCentered="1"/>
      <pageSetup paperSize="9" scale="15" fitToHeight="20" orientation="portrait" r:id="rId2"/>
      <headerFooter alignWithMargins="0">
        <oddFooter>&amp;L&amp;T &amp;D&amp;R&amp;"Times New Roman,обычный"&amp;9&amp;P</oddFooter>
      </headerFooter>
      <autoFilter ref="B1:GS1">
        <filterColumn colId="7">
          <filters>
            <filter val="Курганинский"/>
          </filters>
        </filterColumn>
        <filterColumn colId="9">
          <filters>
            <filter val="Содержание"/>
          </filters>
        </filterColumn>
      </autoFilter>
    </customSheetView>
    <customSheetView guid="{BBEE06E4-9205-40DB-9C78-E17648755B00}" scale="115" showGridLines="0" zeroValues="0" fitToPage="1" showAutoFilter="1" hiddenRows="1" hiddenColumns="1" showRuler="0">
      <pane xSplit="9" ySplit="3" topLeftCell="J4" activePane="bottomRight" state="frozen"/>
      <selection pane="bottomRight" activeCell="J7" sqref="J7"/>
      <pageMargins left="0.19685039370078741" right="0.19685039370078741" top="0.39370078740157483" bottom="0.19685039370078741" header="0.39370078740157483" footer="0.27559055118110237"/>
      <printOptions horizontalCentered="1"/>
      <pageSetup paperSize="9" fitToHeight="20" orientation="portrait" r:id="rId3"/>
      <headerFooter alignWithMargins="0">
        <oddFooter>&amp;L&amp;T &amp;D&amp;R&amp;"Times New Roman,обычный"&amp;9&amp;P</oddFooter>
      </headerFooter>
      <autoFilter ref="B1:GS1"/>
    </customSheetView>
    <customSheetView guid="{4A5FEB23-9FEA-4E9B-A143-FBC359C68DA8}" scale="115" showPageBreaks="1" showGridLines="0" zeroValues="0" fitToPage="1" printArea="1" showAutoFilter="1" hiddenRows="1" showRuler="0">
      <pane xSplit="9" ySplit="3" topLeftCell="BK174" activePane="bottomRight" state="frozen"/>
      <selection pane="bottomRight" activeCell="I175" sqref="I175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4"/>
      <headerFooter alignWithMargins="0">
        <oddFooter>&amp;L&amp;T &amp;D&amp;R&amp;"Times New Roman,обычный"&amp;9&amp;P</oddFooter>
      </headerFooter>
      <autoFilter ref="B1:GS1"/>
    </customSheetView>
    <customSheetView guid="{76AC8A47-0222-474F-85DA-9CB477F01022}" scale="115" showGridLines="0" zeroValues="0" fitToPage="1" showAutoFilter="1" hiddenRows="1" hiddenColumns="1">
      <pane xSplit="9" ySplit="3" topLeftCell="BL201" activePane="bottomRight" state="frozen"/>
      <selection pane="bottomRight" activeCell="BL207" sqref="BL207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5"/>
      <headerFooter alignWithMargins="0">
        <oddFooter>&amp;L&amp;T &amp;D&amp;R&amp;"Times New Roman,обычный"&amp;9&amp;P</oddFooter>
      </headerFooter>
      <autoFilter ref="A3:GV211">
        <filterColumn colId="122" showButton="0"/>
        <filterColumn colId="123" showButton="0"/>
        <filterColumn colId="124" showButton="0"/>
        <filterColumn colId="125" showButton="0"/>
        <filterColumn colId="126" showButton="0"/>
        <filterColumn colId="127" showButton="0"/>
        <filterColumn colId="129" showButton="0"/>
        <filterColumn colId="130" showButton="0"/>
        <filterColumn colId="131" showButton="0"/>
        <filterColumn colId="132" showButton="0"/>
        <filterColumn colId="134" showButton="0"/>
        <filterColumn colId="135" showButton="0"/>
        <filterColumn colId="136" showButton="0"/>
        <filterColumn colId="137" showButton="0"/>
        <filterColumn colId="138" showButton="0"/>
        <filterColumn colId="139" showButton="0"/>
        <filterColumn colId="141" showButton="0"/>
        <filterColumn colId="142" showButton="0"/>
        <filterColumn colId="143" showButton="0"/>
        <filterColumn colId="144" showButton="0"/>
        <filterColumn colId="145" showButton="0"/>
        <filterColumn colId="146" showButton="0"/>
        <filterColumn colId="148" showButton="0"/>
        <filterColumn colId="149" showButton="0"/>
        <filterColumn colId="150" showButton="0"/>
        <filterColumn colId="151" showButton="0"/>
        <filterColumn colId="153" showButton="0"/>
        <filterColumn colId="154" showButton="0"/>
        <filterColumn colId="155" showButton="0"/>
        <filterColumn colId="156" showButton="0"/>
        <filterColumn colId="157" showButton="0"/>
        <filterColumn colId="159" showButton="0"/>
      </autoFilter>
    </customSheetView>
  </customSheetViews>
  <mergeCells count="2">
    <mergeCell ref="C4:C93"/>
    <mergeCell ref="J1:N1"/>
  </mergeCells>
  <phoneticPr fontId="0" type="noConversion"/>
  <conditionalFormatting sqref="BK95:BM99 BE1:BI1 BE95:BI99 CK96:CN98 BP95:BW99 BK103:BY103 BN10:BY50 BN93:BO99 BP93:BY94 CA93:CN94 CA10:CN50 CA103:CN103 CE4:CN9">
    <cfRule type="cellIs" dxfId="957" priority="24806" stopIfTrue="1" operator="greaterThanOrEqual">
      <formula>0</formula>
    </cfRule>
  </conditionalFormatting>
  <conditionalFormatting sqref="F95:F99">
    <cfRule type="cellIs" dxfId="956" priority="24816" stopIfTrue="1" operator="equal">
      <formula>"да"</formula>
    </cfRule>
  </conditionalFormatting>
  <conditionalFormatting sqref="U4:V5 AA4:AD5 U34:V50 AK4:AO50 W4:W50 AK93:AO94 U93:W94">
    <cfRule type="cellIs" dxfId="955" priority="18544" stopIfTrue="1" operator="notEqual">
      <formula>ROUND(U4,0)</formula>
    </cfRule>
  </conditionalFormatting>
  <conditionalFormatting sqref="CP96:CQ98">
    <cfRule type="cellIs" dxfId="954" priority="8321" stopIfTrue="1" operator="greaterThanOrEqual">
      <formula>0</formula>
    </cfRule>
  </conditionalFormatting>
  <conditionalFormatting sqref="G4">
    <cfRule type="expression" dxfId="953" priority="7709" stopIfTrue="1">
      <formula>G4&lt;&gt;#REF!</formula>
    </cfRule>
  </conditionalFormatting>
  <conditionalFormatting sqref="CO96:CO98">
    <cfRule type="cellIs" dxfId="952" priority="6286" stopIfTrue="1" operator="greaterThanOrEqual">
      <formula>0</formula>
    </cfRule>
  </conditionalFormatting>
  <conditionalFormatting sqref="CO103:CQ103">
    <cfRule type="cellIs" dxfId="951" priority="5815" stopIfTrue="1" operator="greaterThanOrEqual">
      <formula>0</formula>
    </cfRule>
  </conditionalFormatting>
  <conditionalFormatting sqref="AE35:AH35 AJ35 AP35">
    <cfRule type="cellIs" dxfId="950" priority="4702" stopIfTrue="1" operator="notEqual">
      <formula>ROUND(AE35,0)</formula>
    </cfRule>
  </conditionalFormatting>
  <conditionalFormatting sqref="T35">
    <cfRule type="cellIs" dxfId="949" priority="4699" stopIfTrue="1" operator="notEqual">
      <formula>O35+R35+S35</formula>
    </cfRule>
  </conditionalFormatting>
  <conditionalFormatting sqref="BE35:BI35 BK35:BM35">
    <cfRule type="cellIs" dxfId="948" priority="4698" stopIfTrue="1" operator="greaterThanOrEqual">
      <formula>0</formula>
    </cfRule>
  </conditionalFormatting>
  <conditionalFormatting sqref="X35:Z35">
    <cfRule type="cellIs" dxfId="947" priority="4700" stopIfTrue="1" operator="notEqual">
      <formula>ROUND(X35,0)</formula>
    </cfRule>
  </conditionalFormatting>
  <conditionalFormatting sqref="O35">
    <cfRule type="cellIs" dxfId="946" priority="4697" stopIfTrue="1" operator="notEqual">
      <formula>SUM(P35:Q35)</formula>
    </cfRule>
  </conditionalFormatting>
  <conditionalFormatting sqref="AI35">
    <cfRule type="cellIs" dxfId="945" priority="4695" stopIfTrue="1" operator="notEqual">
      <formula>ROUND(AI35,0)</formula>
    </cfRule>
  </conditionalFormatting>
  <conditionalFormatting sqref="CP35:CQ35">
    <cfRule type="cellIs" dxfId="944" priority="4693" stopIfTrue="1" operator="greaterThanOrEqual">
      <formula>0</formula>
    </cfRule>
  </conditionalFormatting>
  <conditionalFormatting sqref="AI34">
    <cfRule type="cellIs" dxfId="943" priority="4690" stopIfTrue="1" operator="notEqual">
      <formula>ROUND(AI34,0)</formula>
    </cfRule>
  </conditionalFormatting>
  <conditionalFormatting sqref="AJ34 AE34:AH34 AP34">
    <cfRule type="cellIs" dxfId="942" priority="4689" stopIfTrue="1" operator="notEqual">
      <formula>ROUND(AE34,0)</formula>
    </cfRule>
  </conditionalFormatting>
  <conditionalFormatting sqref="T34">
    <cfRule type="cellIs" dxfId="941" priority="4686" stopIfTrue="1" operator="notEqual">
      <formula>O34+R34+S34</formula>
    </cfRule>
  </conditionalFormatting>
  <conditionalFormatting sqref="BK34:BM34 BE34:BI34">
    <cfRule type="cellIs" dxfId="940" priority="4685" stopIfTrue="1" operator="greaterThanOrEqual">
      <formula>0</formula>
    </cfRule>
  </conditionalFormatting>
  <conditionalFormatting sqref="X34:Z34">
    <cfRule type="cellIs" dxfId="939" priority="4687" stopIfTrue="1" operator="notEqual">
      <formula>ROUND(X34,0)</formula>
    </cfRule>
  </conditionalFormatting>
  <conditionalFormatting sqref="O34">
    <cfRule type="cellIs" dxfId="938" priority="4684" stopIfTrue="1" operator="notEqual">
      <formula>SUM(P34:Q34)</formula>
    </cfRule>
  </conditionalFormatting>
  <conditionalFormatting sqref="CP34:CQ34">
    <cfRule type="cellIs" dxfId="937" priority="4682" stopIfTrue="1" operator="greaterThanOrEqual">
      <formula>0</formula>
    </cfRule>
  </conditionalFormatting>
  <conditionalFormatting sqref="CO35">
    <cfRule type="cellIs" dxfId="936" priority="4681" stopIfTrue="1" operator="greaterThanOrEqual">
      <formula>0</formula>
    </cfRule>
  </conditionalFormatting>
  <conditionalFormatting sqref="CO34">
    <cfRule type="cellIs" dxfId="935" priority="4680" stopIfTrue="1" operator="greaterThanOrEqual">
      <formula>0</formula>
    </cfRule>
  </conditionalFormatting>
  <conditionalFormatting sqref="G34:G35">
    <cfRule type="expression" dxfId="934" priority="4678" stopIfTrue="1">
      <formula>G34&lt;&gt;#REF!</formula>
    </cfRule>
  </conditionalFormatting>
  <conditionalFormatting sqref="AA34:AC35">
    <cfRule type="cellIs" dxfId="933" priority="4676" stopIfTrue="1" operator="notEqual">
      <formula>ROUND(AA34,0)</formula>
    </cfRule>
  </conditionalFormatting>
  <conditionalFormatting sqref="AD34:AD35">
    <cfRule type="cellIs" dxfId="932" priority="4675" stopIfTrue="1" operator="notEqual">
      <formula>ROUND(AD34,0)</formula>
    </cfRule>
  </conditionalFormatting>
  <conditionalFormatting sqref="AI49:AI50">
    <cfRule type="cellIs" dxfId="931" priority="4474" stopIfTrue="1" operator="notEqual">
      <formula>ROUND(AI49,0)</formula>
    </cfRule>
  </conditionalFormatting>
  <conditionalFormatting sqref="X43:Z43">
    <cfRule type="cellIs" dxfId="930" priority="4412" stopIfTrue="1" operator="notEqual">
      <formula>ROUND(X43,0)</formula>
    </cfRule>
  </conditionalFormatting>
  <conditionalFormatting sqref="X42:Z42">
    <cfRule type="cellIs" dxfId="929" priority="4395" stopIfTrue="1" operator="notEqual">
      <formula>ROUND(X42,0)</formula>
    </cfRule>
  </conditionalFormatting>
  <conditionalFormatting sqref="AI93:AI94">
    <cfRule type="cellIs" dxfId="928" priority="4498" stopIfTrue="1" operator="notEqual">
      <formula>ROUND(AI93,0)</formula>
    </cfRule>
  </conditionalFormatting>
  <conditionalFormatting sqref="AJ93:AJ94 AE93:AH94 AP93:AP94">
    <cfRule type="cellIs" dxfId="927" priority="4497" stopIfTrue="1" operator="notEqual">
      <formula>ROUND(AE93,0)</formula>
    </cfRule>
  </conditionalFormatting>
  <conditionalFormatting sqref="T93:T94">
    <cfRule type="cellIs" dxfId="926" priority="4494" stopIfTrue="1" operator="notEqual">
      <formula>O93+R93+S93</formula>
    </cfRule>
  </conditionalFormatting>
  <conditionalFormatting sqref="BK93:BM94 BE93:BI94">
    <cfRule type="cellIs" dxfId="925" priority="4493" stopIfTrue="1" operator="greaterThanOrEqual">
      <formula>0</formula>
    </cfRule>
  </conditionalFormatting>
  <conditionalFormatting sqref="X93:Z94">
    <cfRule type="cellIs" dxfId="924" priority="4495" stopIfTrue="1" operator="notEqual">
      <formula>ROUND(X93,0)</formula>
    </cfRule>
  </conditionalFormatting>
  <conditionalFormatting sqref="O93:O94">
    <cfRule type="cellIs" dxfId="923" priority="4492" stopIfTrue="1" operator="notEqual">
      <formula>SUM(P93:Q93)</formula>
    </cfRule>
  </conditionalFormatting>
  <conditionalFormatting sqref="CP93:CQ94">
    <cfRule type="cellIs" dxfId="922" priority="4490" stopIfTrue="1" operator="greaterThanOrEqual">
      <formula>0</formula>
    </cfRule>
  </conditionalFormatting>
  <conditionalFormatting sqref="CO93:CO94">
    <cfRule type="cellIs" dxfId="921" priority="4488" stopIfTrue="1" operator="greaterThanOrEqual">
      <formula>0</formula>
    </cfRule>
  </conditionalFormatting>
  <conditionalFormatting sqref="G93:G94">
    <cfRule type="expression" dxfId="920" priority="4486" stopIfTrue="1">
      <formula>G93&lt;&gt;#REF!</formula>
    </cfRule>
  </conditionalFormatting>
  <conditionalFormatting sqref="AA93:AC94">
    <cfRule type="cellIs" dxfId="919" priority="4484" stopIfTrue="1" operator="notEqual">
      <formula>ROUND(AA93,0)</formula>
    </cfRule>
  </conditionalFormatting>
  <conditionalFormatting sqref="AD93:AD94">
    <cfRule type="cellIs" dxfId="918" priority="4483" stopIfTrue="1" operator="notEqual">
      <formula>ROUND(AD93,0)</formula>
    </cfRule>
  </conditionalFormatting>
  <conditionalFormatting sqref="AP49 AE49:AH49 AJ49">
    <cfRule type="cellIs" dxfId="917" priority="4480" stopIfTrue="1" operator="notEqual">
      <formula>ROUND(AE49,0)</formula>
    </cfRule>
  </conditionalFormatting>
  <conditionalFormatting sqref="T49">
    <cfRule type="cellIs" dxfId="916" priority="4477" stopIfTrue="1" operator="notEqual">
      <formula>O49+R49+S49</formula>
    </cfRule>
  </conditionalFormatting>
  <conditionalFormatting sqref="BK49:BM49 BE49:BI49">
    <cfRule type="cellIs" dxfId="915" priority="4476" stopIfTrue="1" operator="greaterThanOrEqual">
      <formula>0</formula>
    </cfRule>
  </conditionalFormatting>
  <conditionalFormatting sqref="X49:Z49">
    <cfRule type="cellIs" dxfId="914" priority="4478" stopIfTrue="1" operator="notEqual">
      <formula>ROUND(X49,0)</formula>
    </cfRule>
  </conditionalFormatting>
  <conditionalFormatting sqref="O49">
    <cfRule type="cellIs" dxfId="913" priority="4475" stopIfTrue="1" operator="notEqual">
      <formula>SUM(P49:Q49)</formula>
    </cfRule>
  </conditionalFormatting>
  <conditionalFormatting sqref="AP50 AE50:AH50 AJ50">
    <cfRule type="cellIs" dxfId="912" priority="4473" stopIfTrue="1" operator="notEqual">
      <formula>ROUND(AE50,0)</formula>
    </cfRule>
  </conditionalFormatting>
  <conditionalFormatting sqref="T50">
    <cfRule type="cellIs" dxfId="911" priority="4470" stopIfTrue="1" operator="notEqual">
      <formula>O50+R50+S50</formula>
    </cfRule>
  </conditionalFormatting>
  <conditionalFormatting sqref="BE50:BI50 BK50:BM50">
    <cfRule type="cellIs" dxfId="910" priority="4469" stopIfTrue="1" operator="greaterThanOrEqual">
      <formula>0</formula>
    </cfRule>
  </conditionalFormatting>
  <conditionalFormatting sqref="X50:Z50">
    <cfRule type="cellIs" dxfId="909" priority="4471" stopIfTrue="1" operator="notEqual">
      <formula>ROUND(X50,0)</formula>
    </cfRule>
  </conditionalFormatting>
  <conditionalFormatting sqref="O50">
    <cfRule type="cellIs" dxfId="908" priority="4468" stopIfTrue="1" operator="notEqual">
      <formula>SUM(P50:Q50)</formula>
    </cfRule>
  </conditionalFormatting>
  <conditionalFormatting sqref="CP49:CQ49">
    <cfRule type="cellIs" dxfId="907" priority="4466" stopIfTrue="1" operator="greaterThanOrEqual">
      <formula>0</formula>
    </cfRule>
  </conditionalFormatting>
  <conditionalFormatting sqref="CP50:CQ50">
    <cfRule type="cellIs" dxfId="906" priority="4465" stopIfTrue="1" operator="greaterThanOrEqual">
      <formula>0</formula>
    </cfRule>
  </conditionalFormatting>
  <conditionalFormatting sqref="AI48">
    <cfRule type="cellIs" dxfId="905" priority="4462" stopIfTrue="1" operator="notEqual">
      <formula>ROUND(AI48,0)</formula>
    </cfRule>
  </conditionalFormatting>
  <conditionalFormatting sqref="AP48 AE48:AH48">
    <cfRule type="cellIs" dxfId="904" priority="4461" stopIfTrue="1" operator="notEqual">
      <formula>ROUND(AE48,0)</formula>
    </cfRule>
  </conditionalFormatting>
  <conditionalFormatting sqref="T48">
    <cfRule type="cellIs" dxfId="903" priority="4458" stopIfTrue="1" operator="notEqual">
      <formula>O48+R48+S48</formula>
    </cfRule>
  </conditionalFormatting>
  <conditionalFormatting sqref="BE48:BI48 BK48:BM48">
    <cfRule type="cellIs" dxfId="902" priority="4457" stopIfTrue="1" operator="greaterThanOrEqual">
      <formula>0</formula>
    </cfRule>
  </conditionalFormatting>
  <conditionalFormatting sqref="X48:Z48">
    <cfRule type="cellIs" dxfId="901" priority="4459" stopIfTrue="1" operator="notEqual">
      <formula>ROUND(X48,0)</formula>
    </cfRule>
  </conditionalFormatting>
  <conditionalFormatting sqref="O48">
    <cfRule type="cellIs" dxfId="900" priority="4456" stopIfTrue="1" operator="notEqual">
      <formula>SUM(P48:Q48)</formula>
    </cfRule>
  </conditionalFormatting>
  <conditionalFormatting sqref="CP48:CQ48">
    <cfRule type="cellIs" dxfId="899" priority="4454" stopIfTrue="1" operator="greaterThanOrEqual">
      <formula>0</formula>
    </cfRule>
  </conditionalFormatting>
  <conditionalFormatting sqref="CO49">
    <cfRule type="cellIs" dxfId="898" priority="4453" stopIfTrue="1" operator="greaterThanOrEqual">
      <formula>0</formula>
    </cfRule>
  </conditionalFormatting>
  <conditionalFormatting sqref="CO50">
    <cfRule type="cellIs" dxfId="897" priority="4452" stopIfTrue="1" operator="greaterThanOrEqual">
      <formula>0</formula>
    </cfRule>
  </conditionalFormatting>
  <conditionalFormatting sqref="CO48">
    <cfRule type="cellIs" dxfId="896" priority="4451" stopIfTrue="1" operator="greaterThanOrEqual">
      <formula>0</formula>
    </cfRule>
  </conditionalFormatting>
  <conditionalFormatting sqref="AJ48">
    <cfRule type="cellIs" dxfId="895" priority="4450" stopIfTrue="1" operator="notEqual">
      <formula>ROUND(AJ48,0)</formula>
    </cfRule>
  </conditionalFormatting>
  <conditionalFormatting sqref="G48:G50">
    <cfRule type="expression" dxfId="894" priority="4448" stopIfTrue="1">
      <formula>G48&lt;&gt;#REF!</formula>
    </cfRule>
  </conditionalFormatting>
  <conditionalFormatting sqref="AI37">
    <cfRule type="cellIs" dxfId="893" priority="4342" stopIfTrue="1" operator="notEqual">
      <formula>ROUND(AI37,0)</formula>
    </cfRule>
  </conditionalFormatting>
  <conditionalFormatting sqref="AE47:AH47 AJ47 AP47">
    <cfRule type="cellIs" dxfId="892" priority="4445" stopIfTrue="1" operator="notEqual">
      <formula>ROUND(AE47,0)</formula>
    </cfRule>
  </conditionalFormatting>
  <conditionalFormatting sqref="T47">
    <cfRule type="cellIs" dxfId="891" priority="4442" stopIfTrue="1" operator="notEqual">
      <formula>O47+R47+S47</formula>
    </cfRule>
  </conditionalFormatting>
  <conditionalFormatting sqref="BE47:BI47 BK47:BM47">
    <cfRule type="cellIs" dxfId="890" priority="4441" stopIfTrue="1" operator="greaterThanOrEqual">
      <formula>0</formula>
    </cfRule>
  </conditionalFormatting>
  <conditionalFormatting sqref="X47:Z47">
    <cfRule type="cellIs" dxfId="889" priority="4443" stopIfTrue="1" operator="notEqual">
      <formula>ROUND(X47,0)</formula>
    </cfRule>
  </conditionalFormatting>
  <conditionalFormatting sqref="O47">
    <cfRule type="cellIs" dxfId="888" priority="4440" stopIfTrue="1" operator="notEqual">
      <formula>SUM(P47:Q47)</formula>
    </cfRule>
  </conditionalFormatting>
  <conditionalFormatting sqref="AI47">
    <cfRule type="cellIs" dxfId="887" priority="4438" stopIfTrue="1" operator="notEqual">
      <formula>ROUND(AI47,0)</formula>
    </cfRule>
  </conditionalFormatting>
  <conditionalFormatting sqref="CP47:CQ47">
    <cfRule type="cellIs" dxfId="886" priority="4436" stopIfTrue="1" operator="greaterThanOrEqual">
      <formula>0</formula>
    </cfRule>
  </conditionalFormatting>
  <conditionalFormatting sqref="AP44 AE44:AH44 AJ44">
    <cfRule type="cellIs" dxfId="885" priority="4433" stopIfTrue="1" operator="notEqual">
      <formula>ROUND(AE44,0)</formula>
    </cfRule>
  </conditionalFormatting>
  <conditionalFormatting sqref="T44">
    <cfRule type="cellIs" dxfId="884" priority="4430" stopIfTrue="1" operator="notEqual">
      <formula>O44+R44+S44</formula>
    </cfRule>
  </conditionalFormatting>
  <conditionalFormatting sqref="BK44:BM44 BE44:BI44">
    <cfRule type="cellIs" dxfId="883" priority="4429" stopIfTrue="1" operator="greaterThanOrEqual">
      <formula>0</formula>
    </cfRule>
  </conditionalFormatting>
  <conditionalFormatting sqref="X44:Z44">
    <cfRule type="cellIs" dxfId="882" priority="4431" stopIfTrue="1" operator="notEqual">
      <formula>ROUND(X44,0)</formula>
    </cfRule>
  </conditionalFormatting>
  <conditionalFormatting sqref="O44">
    <cfRule type="cellIs" dxfId="881" priority="4428" stopIfTrue="1" operator="notEqual">
      <formula>SUM(P44:Q44)</formula>
    </cfRule>
  </conditionalFormatting>
  <conditionalFormatting sqref="AI44:AI46">
    <cfRule type="cellIs" dxfId="880" priority="4427" stopIfTrue="1" operator="notEqual">
      <formula>ROUND(AI44,0)</formula>
    </cfRule>
  </conditionalFormatting>
  <conditionalFormatting sqref="AP45:AP46 AE45:AH46 AJ45:AJ46">
    <cfRule type="cellIs" dxfId="879" priority="4426" stopIfTrue="1" operator="notEqual">
      <formula>ROUND(AE45,0)</formula>
    </cfRule>
  </conditionalFormatting>
  <conditionalFormatting sqref="T45:T46">
    <cfRule type="cellIs" dxfId="878" priority="4423" stopIfTrue="1" operator="notEqual">
      <formula>O45+R45+S45</formula>
    </cfRule>
  </conditionalFormatting>
  <conditionalFormatting sqref="BE45:BI46 BK45:BM46">
    <cfRule type="cellIs" dxfId="877" priority="4422" stopIfTrue="1" operator="greaterThanOrEqual">
      <formula>0</formula>
    </cfRule>
  </conditionalFormatting>
  <conditionalFormatting sqref="X45:Z46">
    <cfRule type="cellIs" dxfId="876" priority="4424" stopIfTrue="1" operator="notEqual">
      <formula>ROUND(X45,0)</formula>
    </cfRule>
  </conditionalFormatting>
  <conditionalFormatting sqref="O45:O46">
    <cfRule type="cellIs" dxfId="875" priority="4421" stopIfTrue="1" operator="notEqual">
      <formula>SUM(P45:Q45)</formula>
    </cfRule>
  </conditionalFormatting>
  <conditionalFormatting sqref="CP44:CQ44">
    <cfRule type="cellIs" dxfId="874" priority="4419" stopIfTrue="1" operator="greaterThanOrEqual">
      <formula>0</formula>
    </cfRule>
  </conditionalFormatting>
  <conditionalFormatting sqref="CP45:CQ46">
    <cfRule type="cellIs" dxfId="873" priority="4418" stopIfTrue="1" operator="greaterThanOrEqual">
      <formula>0</formula>
    </cfRule>
  </conditionalFormatting>
  <conditionalFormatting sqref="AI43">
    <cfRule type="cellIs" dxfId="872" priority="4415" stopIfTrue="1" operator="notEqual">
      <formula>ROUND(AI43,0)</formula>
    </cfRule>
  </conditionalFormatting>
  <conditionalFormatting sqref="AP43 AE43:AH43">
    <cfRule type="cellIs" dxfId="871" priority="4414" stopIfTrue="1" operator="notEqual">
      <formula>ROUND(AE43,0)</formula>
    </cfRule>
  </conditionalFormatting>
  <conditionalFormatting sqref="T43">
    <cfRule type="cellIs" dxfId="870" priority="4411" stopIfTrue="1" operator="notEqual">
      <formula>O43+R43+S43</formula>
    </cfRule>
  </conditionalFormatting>
  <conditionalFormatting sqref="BE43:BI43 BK43:BM43">
    <cfRule type="cellIs" dxfId="869" priority="4410" stopIfTrue="1" operator="greaterThanOrEqual">
      <formula>0</formula>
    </cfRule>
  </conditionalFormatting>
  <conditionalFormatting sqref="O43">
    <cfRule type="cellIs" dxfId="868" priority="4409" stopIfTrue="1" operator="notEqual">
      <formula>SUM(P43:Q43)</formula>
    </cfRule>
  </conditionalFormatting>
  <conditionalFormatting sqref="CP43:CQ43">
    <cfRule type="cellIs" dxfId="867" priority="4407" stopIfTrue="1" operator="greaterThanOrEqual">
      <formula>0</formula>
    </cfRule>
  </conditionalFormatting>
  <conditionalFormatting sqref="CO47">
    <cfRule type="cellIs" dxfId="866" priority="4406" stopIfTrue="1" operator="greaterThanOrEqual">
      <formula>0</formula>
    </cfRule>
  </conditionalFormatting>
  <conditionalFormatting sqref="CO44">
    <cfRule type="cellIs" dxfId="865" priority="4405" stopIfTrue="1" operator="greaterThanOrEqual">
      <formula>0</formula>
    </cfRule>
  </conditionalFormatting>
  <conditionalFormatting sqref="CO45:CO46">
    <cfRule type="cellIs" dxfId="864" priority="4404" stopIfTrue="1" operator="greaterThanOrEqual">
      <formula>0</formula>
    </cfRule>
  </conditionalFormatting>
  <conditionalFormatting sqref="CO43">
    <cfRule type="cellIs" dxfId="863" priority="4403" stopIfTrue="1" operator="greaterThanOrEqual">
      <formula>0</formula>
    </cfRule>
  </conditionalFormatting>
  <conditionalFormatting sqref="AJ43">
    <cfRule type="cellIs" dxfId="862" priority="4402" stopIfTrue="1" operator="notEqual">
      <formula>ROUND(AJ43,0)</formula>
    </cfRule>
  </conditionalFormatting>
  <conditionalFormatting sqref="G43:G47">
    <cfRule type="expression" dxfId="861" priority="4400" stopIfTrue="1">
      <formula>G43&lt;&gt;#REF!</formula>
    </cfRule>
  </conditionalFormatting>
  <conditionalFormatting sqref="AE42:AH42 AJ42 AP42">
    <cfRule type="cellIs" dxfId="860" priority="4397" stopIfTrue="1" operator="notEqual">
      <formula>ROUND(AE42,0)</formula>
    </cfRule>
  </conditionalFormatting>
  <conditionalFormatting sqref="T42">
    <cfRule type="cellIs" dxfId="859" priority="4394" stopIfTrue="1" operator="notEqual">
      <formula>O42+R42+S42</formula>
    </cfRule>
  </conditionalFormatting>
  <conditionalFormatting sqref="BE42:BI42 BK42:BM42">
    <cfRule type="cellIs" dxfId="858" priority="4393" stopIfTrue="1" operator="greaterThanOrEqual">
      <formula>0</formula>
    </cfRule>
  </conditionalFormatting>
  <conditionalFormatting sqref="O42">
    <cfRule type="cellIs" dxfId="857" priority="4392" stopIfTrue="1" operator="notEqual">
      <formula>SUM(P42:Q42)</formula>
    </cfRule>
  </conditionalFormatting>
  <conditionalFormatting sqref="AI42">
    <cfRule type="cellIs" dxfId="856" priority="4390" stopIfTrue="1" operator="notEqual">
      <formula>ROUND(AI42,0)</formula>
    </cfRule>
  </conditionalFormatting>
  <conditionalFormatting sqref="CP42:CQ42">
    <cfRule type="cellIs" dxfId="855" priority="4388" stopIfTrue="1" operator="greaterThanOrEqual">
      <formula>0</formula>
    </cfRule>
  </conditionalFormatting>
  <conditionalFormatting sqref="AP39 AE39:AH39 AJ39">
    <cfRule type="cellIs" dxfId="854" priority="4385" stopIfTrue="1" operator="notEqual">
      <formula>ROUND(AE39,0)</formula>
    </cfRule>
  </conditionalFormatting>
  <conditionalFormatting sqref="T39">
    <cfRule type="cellIs" dxfId="853" priority="4382" stopIfTrue="1" operator="notEqual">
      <formula>O39+R39+S39</formula>
    </cfRule>
  </conditionalFormatting>
  <conditionalFormatting sqref="BK39:BM39 BE39:BI39">
    <cfRule type="cellIs" dxfId="852" priority="4381" stopIfTrue="1" operator="greaterThanOrEqual">
      <formula>0</formula>
    </cfRule>
  </conditionalFormatting>
  <conditionalFormatting sqref="X39:Z39">
    <cfRule type="cellIs" dxfId="851" priority="4383" stopIfTrue="1" operator="notEqual">
      <formula>ROUND(X39,0)</formula>
    </cfRule>
  </conditionalFormatting>
  <conditionalFormatting sqref="O39">
    <cfRule type="cellIs" dxfId="850" priority="4380" stopIfTrue="1" operator="notEqual">
      <formula>SUM(P39:Q39)</formula>
    </cfRule>
  </conditionalFormatting>
  <conditionalFormatting sqref="AI39:AI41">
    <cfRule type="cellIs" dxfId="849" priority="4379" stopIfTrue="1" operator="notEqual">
      <formula>ROUND(AI39,0)</formula>
    </cfRule>
  </conditionalFormatting>
  <conditionalFormatting sqref="AP40:AP41 AE40:AH41 AJ40:AJ41">
    <cfRule type="cellIs" dxfId="848" priority="4378" stopIfTrue="1" operator="notEqual">
      <formula>ROUND(AE40,0)</formula>
    </cfRule>
  </conditionalFormatting>
  <conditionalFormatting sqref="T40:T41">
    <cfRule type="cellIs" dxfId="847" priority="4375" stopIfTrue="1" operator="notEqual">
      <formula>O40+R40+S40</formula>
    </cfRule>
  </conditionalFormatting>
  <conditionalFormatting sqref="BE40:BI41 BK40:BM41">
    <cfRule type="cellIs" dxfId="846" priority="4374" stopIfTrue="1" operator="greaterThanOrEqual">
      <formula>0</formula>
    </cfRule>
  </conditionalFormatting>
  <conditionalFormatting sqref="X40:Z41">
    <cfRule type="cellIs" dxfId="845" priority="4376" stopIfTrue="1" operator="notEqual">
      <formula>ROUND(X40,0)</formula>
    </cfRule>
  </conditionalFormatting>
  <conditionalFormatting sqref="O40:O41">
    <cfRule type="cellIs" dxfId="844" priority="4373" stopIfTrue="1" operator="notEqual">
      <formula>SUM(P40:Q40)</formula>
    </cfRule>
  </conditionalFormatting>
  <conditionalFormatting sqref="CP39:CQ39">
    <cfRule type="cellIs" dxfId="843" priority="4371" stopIfTrue="1" operator="greaterThanOrEqual">
      <formula>0</formula>
    </cfRule>
  </conditionalFormatting>
  <conditionalFormatting sqref="CP40:CQ41">
    <cfRule type="cellIs" dxfId="842" priority="4370" stopIfTrue="1" operator="greaterThanOrEqual">
      <formula>0</formula>
    </cfRule>
  </conditionalFormatting>
  <conditionalFormatting sqref="AI38">
    <cfRule type="cellIs" dxfId="841" priority="4367" stopIfTrue="1" operator="notEqual">
      <formula>ROUND(AI38,0)</formula>
    </cfRule>
  </conditionalFormatting>
  <conditionalFormatting sqref="AP38 AE38:AH38">
    <cfRule type="cellIs" dxfId="840" priority="4366" stopIfTrue="1" operator="notEqual">
      <formula>ROUND(AE38,0)</formula>
    </cfRule>
  </conditionalFormatting>
  <conditionalFormatting sqref="T38">
    <cfRule type="cellIs" dxfId="839" priority="4363" stopIfTrue="1" operator="notEqual">
      <formula>O38+R38+S38</formula>
    </cfRule>
  </conditionalFormatting>
  <conditionalFormatting sqref="BE38:BI38 BK38:BM38">
    <cfRule type="cellIs" dxfId="838" priority="4362" stopIfTrue="1" operator="greaterThanOrEqual">
      <formula>0</formula>
    </cfRule>
  </conditionalFormatting>
  <conditionalFormatting sqref="X38:Z38">
    <cfRule type="cellIs" dxfId="837" priority="4364" stopIfTrue="1" operator="notEqual">
      <formula>ROUND(X38,0)</formula>
    </cfRule>
  </conditionalFormatting>
  <conditionalFormatting sqref="O38">
    <cfRule type="cellIs" dxfId="836" priority="4361" stopIfTrue="1" operator="notEqual">
      <formula>SUM(P38:Q38)</formula>
    </cfRule>
  </conditionalFormatting>
  <conditionalFormatting sqref="CP38:CQ38">
    <cfRule type="cellIs" dxfId="835" priority="4359" stopIfTrue="1" operator="greaterThanOrEqual">
      <formula>0</formula>
    </cfRule>
  </conditionalFormatting>
  <conditionalFormatting sqref="CO42">
    <cfRule type="cellIs" dxfId="834" priority="4358" stopIfTrue="1" operator="greaterThanOrEqual">
      <formula>0</formula>
    </cfRule>
  </conditionalFormatting>
  <conditionalFormatting sqref="CO39">
    <cfRule type="cellIs" dxfId="833" priority="4357" stopIfTrue="1" operator="greaterThanOrEqual">
      <formula>0</formula>
    </cfRule>
  </conditionalFormatting>
  <conditionalFormatting sqref="CO40:CO41">
    <cfRule type="cellIs" dxfId="832" priority="4356" stopIfTrue="1" operator="greaterThanOrEqual">
      <formula>0</formula>
    </cfRule>
  </conditionalFormatting>
  <conditionalFormatting sqref="CO38">
    <cfRule type="cellIs" dxfId="831" priority="4355" stopIfTrue="1" operator="greaterThanOrEqual">
      <formula>0</formula>
    </cfRule>
  </conditionalFormatting>
  <conditionalFormatting sqref="AJ38">
    <cfRule type="cellIs" dxfId="830" priority="4354" stopIfTrue="1" operator="notEqual">
      <formula>ROUND(AJ38,0)</formula>
    </cfRule>
  </conditionalFormatting>
  <conditionalFormatting sqref="G38:G42">
    <cfRule type="expression" dxfId="829" priority="4352" stopIfTrue="1">
      <formula>G38&lt;&gt;#REF!</formula>
    </cfRule>
  </conditionalFormatting>
  <conditionalFormatting sqref="AE37:AH37 AJ37 AP37">
    <cfRule type="cellIs" dxfId="828" priority="4349" stopIfTrue="1" operator="notEqual">
      <formula>ROUND(AE37,0)</formula>
    </cfRule>
  </conditionalFormatting>
  <conditionalFormatting sqref="T37">
    <cfRule type="cellIs" dxfId="827" priority="4346" stopIfTrue="1" operator="notEqual">
      <formula>O37+R37+S37</formula>
    </cfRule>
  </conditionalFormatting>
  <conditionalFormatting sqref="BE37:BI37 BK37:BM37">
    <cfRule type="cellIs" dxfId="826" priority="4345" stopIfTrue="1" operator="greaterThanOrEqual">
      <formula>0</formula>
    </cfRule>
  </conditionalFormatting>
  <conditionalFormatting sqref="X37:Z37">
    <cfRule type="cellIs" dxfId="825" priority="4347" stopIfTrue="1" operator="notEqual">
      <formula>ROUND(X37,0)</formula>
    </cfRule>
  </conditionalFormatting>
  <conditionalFormatting sqref="O37">
    <cfRule type="cellIs" dxfId="824" priority="4344" stopIfTrue="1" operator="notEqual">
      <formula>SUM(P37:Q37)</formula>
    </cfRule>
  </conditionalFormatting>
  <conditionalFormatting sqref="CP37:CQ37">
    <cfRule type="cellIs" dxfId="823" priority="4340" stopIfTrue="1" operator="greaterThanOrEqual">
      <formula>0</formula>
    </cfRule>
  </conditionalFormatting>
  <conditionalFormatting sqref="AI36">
    <cfRule type="cellIs" dxfId="822" priority="4337" stopIfTrue="1" operator="notEqual">
      <formula>ROUND(AI36,0)</formula>
    </cfRule>
  </conditionalFormatting>
  <conditionalFormatting sqref="AP36 AE36:AH36 AJ36">
    <cfRule type="cellIs" dxfId="821" priority="4336" stopIfTrue="1" operator="notEqual">
      <formula>ROUND(AE36,0)</formula>
    </cfRule>
  </conditionalFormatting>
  <conditionalFormatting sqref="T36">
    <cfRule type="cellIs" dxfId="820" priority="4333" stopIfTrue="1" operator="notEqual">
      <formula>O36+R36+S36</formula>
    </cfRule>
  </conditionalFormatting>
  <conditionalFormatting sqref="BE36:BI36 BK36:BM36">
    <cfRule type="cellIs" dxfId="819" priority="4332" stopIfTrue="1" operator="greaterThanOrEqual">
      <formula>0</formula>
    </cfRule>
  </conditionalFormatting>
  <conditionalFormatting sqref="X36:Z36">
    <cfRule type="cellIs" dxfId="818" priority="4334" stopIfTrue="1" operator="notEqual">
      <formula>ROUND(X36,0)</formula>
    </cfRule>
  </conditionalFormatting>
  <conditionalFormatting sqref="O36">
    <cfRule type="cellIs" dxfId="817" priority="4331" stopIfTrue="1" operator="notEqual">
      <formula>SUM(P36:Q36)</formula>
    </cfRule>
  </conditionalFormatting>
  <conditionalFormatting sqref="CP36:CQ36">
    <cfRule type="cellIs" dxfId="816" priority="4329" stopIfTrue="1" operator="greaterThanOrEqual">
      <formula>0</formula>
    </cfRule>
  </conditionalFormatting>
  <conditionalFormatting sqref="CO37">
    <cfRule type="cellIs" dxfId="815" priority="4328" stopIfTrue="1" operator="greaterThanOrEqual">
      <formula>0</formula>
    </cfRule>
  </conditionalFormatting>
  <conditionalFormatting sqref="CO36">
    <cfRule type="cellIs" dxfId="814" priority="4327" stopIfTrue="1" operator="greaterThanOrEqual">
      <formula>0</formula>
    </cfRule>
  </conditionalFormatting>
  <conditionalFormatting sqref="G36:G37">
    <cfRule type="expression" dxfId="813" priority="4325" stopIfTrue="1">
      <formula>G36&lt;&gt;#REF!</formula>
    </cfRule>
  </conditionalFormatting>
  <conditionalFormatting sqref="AA36:AC50">
    <cfRule type="cellIs" dxfId="812" priority="4323" stopIfTrue="1" operator="notEqual">
      <formula>ROUND(AA36,0)</formula>
    </cfRule>
  </conditionalFormatting>
  <conditionalFormatting sqref="AD36:AD50">
    <cfRule type="cellIs" dxfId="811" priority="4322" stopIfTrue="1" operator="notEqual">
      <formula>ROUND(AD36,0)</formula>
    </cfRule>
  </conditionalFormatting>
  <conditionalFormatting sqref="F4:F5 F34:F50 F93:F94">
    <cfRule type="containsText" dxfId="810" priority="3534" operator="containsText" text="да">
      <formula>NOT(ISERROR(SEARCH("да",F4)))</formula>
    </cfRule>
  </conditionalFormatting>
  <conditionalFormatting sqref="X14:Z14">
    <cfRule type="cellIs" dxfId="809" priority="3194" stopIfTrue="1" operator="notEqual">
      <formula>ROUND(X14,0)</formula>
    </cfRule>
  </conditionalFormatting>
  <conditionalFormatting sqref="X15:Z15">
    <cfRule type="cellIs" dxfId="808" priority="3187" stopIfTrue="1" operator="notEqual">
      <formula>ROUND(X15,0)</formula>
    </cfRule>
  </conditionalFormatting>
  <conditionalFormatting sqref="U6:V33 AJ6:AJ8">
    <cfRule type="cellIs" dxfId="807" priority="3226" stopIfTrue="1" operator="notEqual">
      <formula>ROUND(U6,0)</formula>
    </cfRule>
  </conditionalFormatting>
  <conditionalFormatting sqref="AE17:AH17 AJ17 AP17">
    <cfRule type="cellIs" dxfId="806" priority="3223" stopIfTrue="1" operator="notEqual">
      <formula>ROUND(AE17,0)</formula>
    </cfRule>
  </conditionalFormatting>
  <conditionalFormatting sqref="T17">
    <cfRule type="cellIs" dxfId="805" priority="3220" stopIfTrue="1" operator="notEqual">
      <formula>O17+R17+S17</formula>
    </cfRule>
  </conditionalFormatting>
  <conditionalFormatting sqref="BE17:BI17 BK17:BM17">
    <cfRule type="cellIs" dxfId="804" priority="3219" stopIfTrue="1" operator="greaterThanOrEqual">
      <formula>0</formula>
    </cfRule>
  </conditionalFormatting>
  <conditionalFormatting sqref="X17:Z17">
    <cfRule type="cellIs" dxfId="803" priority="3221" stopIfTrue="1" operator="notEqual">
      <formula>ROUND(X17,0)</formula>
    </cfRule>
  </conditionalFormatting>
  <conditionalFormatting sqref="O17">
    <cfRule type="cellIs" dxfId="802" priority="3218" stopIfTrue="1" operator="notEqual">
      <formula>SUM(P17:Q17)</formula>
    </cfRule>
  </conditionalFormatting>
  <conditionalFormatting sqref="AI17">
    <cfRule type="cellIs" dxfId="801" priority="3216" stopIfTrue="1" operator="notEqual">
      <formula>ROUND(AI17,0)</formula>
    </cfRule>
  </conditionalFormatting>
  <conditionalFormatting sqref="CP17:CQ17">
    <cfRule type="cellIs" dxfId="800" priority="3215" stopIfTrue="1" operator="greaterThanOrEqual">
      <formula>0</formula>
    </cfRule>
  </conditionalFormatting>
  <conditionalFormatting sqref="AE6:AH6 AP6">
    <cfRule type="cellIs" dxfId="799" priority="3109" stopIfTrue="1" operator="notEqual">
      <formula>ROUND(AE6,0)</formula>
    </cfRule>
  </conditionalFormatting>
  <conditionalFormatting sqref="AI16">
    <cfRule type="cellIs" dxfId="798" priority="3212" stopIfTrue="1" operator="notEqual">
      <formula>ROUND(AI16,0)</formula>
    </cfRule>
  </conditionalFormatting>
  <conditionalFormatting sqref="AJ16 AE16:AH16 AP16">
    <cfRule type="cellIs" dxfId="797" priority="3211" stopIfTrue="1" operator="notEqual">
      <formula>ROUND(AE16,0)</formula>
    </cfRule>
  </conditionalFormatting>
  <conditionalFormatting sqref="T16">
    <cfRule type="cellIs" dxfId="796" priority="3208" stopIfTrue="1" operator="notEqual">
      <formula>O16+R16+S16</formula>
    </cfRule>
  </conditionalFormatting>
  <conditionalFormatting sqref="BK16:BM16 BE16:BI16">
    <cfRule type="cellIs" dxfId="795" priority="3207" stopIfTrue="1" operator="greaterThanOrEqual">
      <formula>0</formula>
    </cfRule>
  </conditionalFormatting>
  <conditionalFormatting sqref="X16:Z16">
    <cfRule type="cellIs" dxfId="794" priority="3209" stopIfTrue="1" operator="notEqual">
      <formula>ROUND(X16,0)</formula>
    </cfRule>
  </conditionalFormatting>
  <conditionalFormatting sqref="O16">
    <cfRule type="cellIs" dxfId="793" priority="3206" stopIfTrue="1" operator="notEqual">
      <formula>SUM(P16:Q16)</formula>
    </cfRule>
  </conditionalFormatting>
  <conditionalFormatting sqref="CP16:CQ16">
    <cfRule type="cellIs" dxfId="792" priority="3205" stopIfTrue="1" operator="greaterThanOrEqual">
      <formula>0</formula>
    </cfRule>
  </conditionalFormatting>
  <conditionalFormatting sqref="CO17">
    <cfRule type="cellIs" dxfId="791" priority="3204" stopIfTrue="1" operator="greaterThanOrEqual">
      <formula>0</formula>
    </cfRule>
  </conditionalFormatting>
  <conditionalFormatting sqref="CO16">
    <cfRule type="cellIs" dxfId="790" priority="3203" stopIfTrue="1" operator="greaterThanOrEqual">
      <formula>0</formula>
    </cfRule>
  </conditionalFormatting>
  <conditionalFormatting sqref="G16:G17">
    <cfRule type="expression" dxfId="789" priority="3202" stopIfTrue="1">
      <formula>G16&lt;&gt;#REF!</formula>
    </cfRule>
  </conditionalFormatting>
  <conditionalFormatting sqref="AD6:AD15">
    <cfRule type="cellIs" dxfId="788" priority="3097" stopIfTrue="1" operator="notEqual">
      <formula>ROUND(AD6,0)</formula>
    </cfRule>
  </conditionalFormatting>
  <conditionalFormatting sqref="AA16:AC17">
    <cfRule type="cellIs" dxfId="787" priority="3200" stopIfTrue="1" operator="notEqual">
      <formula>ROUND(AA16,0)</formula>
    </cfRule>
  </conditionalFormatting>
  <conditionalFormatting sqref="AD16:AD17">
    <cfRule type="cellIs" dxfId="786" priority="3199" stopIfTrue="1" operator="notEqual">
      <formula>ROUND(AD16,0)</formula>
    </cfRule>
  </conditionalFormatting>
  <conditionalFormatting sqref="AP14 AE14:AH14 AJ14">
    <cfRule type="cellIs" dxfId="785" priority="3196" stopIfTrue="1" operator="notEqual">
      <formula>ROUND(AE14,0)</formula>
    </cfRule>
  </conditionalFormatting>
  <conditionalFormatting sqref="T14">
    <cfRule type="cellIs" dxfId="784" priority="3193" stopIfTrue="1" operator="notEqual">
      <formula>O14+R14+S14</formula>
    </cfRule>
  </conditionalFormatting>
  <conditionalFormatting sqref="BK14:BM14 BE14:BI14">
    <cfRule type="cellIs" dxfId="783" priority="3192" stopIfTrue="1" operator="greaterThanOrEqual">
      <formula>0</formula>
    </cfRule>
  </conditionalFormatting>
  <conditionalFormatting sqref="O14">
    <cfRule type="cellIs" dxfId="782" priority="3191" stopIfTrue="1" operator="notEqual">
      <formula>SUM(P14:Q14)</formula>
    </cfRule>
  </conditionalFormatting>
  <conditionalFormatting sqref="AI14:AI15">
    <cfRule type="cellIs" dxfId="781" priority="3190" stopIfTrue="1" operator="notEqual">
      <formula>ROUND(AI14,0)</formula>
    </cfRule>
  </conditionalFormatting>
  <conditionalFormatting sqref="AP15 AE15:AH15 AJ15">
    <cfRule type="cellIs" dxfId="780" priority="3189" stopIfTrue="1" operator="notEqual">
      <formula>ROUND(AE15,0)</formula>
    </cfRule>
  </conditionalFormatting>
  <conditionalFormatting sqref="T15">
    <cfRule type="cellIs" dxfId="779" priority="3186" stopIfTrue="1" operator="notEqual">
      <formula>O15+R15+S15</formula>
    </cfRule>
  </conditionalFormatting>
  <conditionalFormatting sqref="BE15:BI15 BK15:BM15">
    <cfRule type="cellIs" dxfId="778" priority="3185" stopIfTrue="1" operator="greaterThanOrEqual">
      <formula>0</formula>
    </cfRule>
  </conditionalFormatting>
  <conditionalFormatting sqref="O15">
    <cfRule type="cellIs" dxfId="777" priority="3184" stopIfTrue="1" operator="notEqual">
      <formula>SUM(P15:Q15)</formula>
    </cfRule>
  </conditionalFormatting>
  <conditionalFormatting sqref="CP14:CQ14">
    <cfRule type="cellIs" dxfId="776" priority="3183" stopIfTrue="1" operator="greaterThanOrEqual">
      <formula>0</formula>
    </cfRule>
  </conditionalFormatting>
  <conditionalFormatting sqref="CP15:CQ15">
    <cfRule type="cellIs" dxfId="775" priority="3182" stopIfTrue="1" operator="greaterThanOrEqual">
      <formula>0</formula>
    </cfRule>
  </conditionalFormatting>
  <conditionalFormatting sqref="AI13">
    <cfRule type="cellIs" dxfId="774" priority="3179" stopIfTrue="1" operator="notEqual">
      <formula>ROUND(AI13,0)</formula>
    </cfRule>
  </conditionalFormatting>
  <conditionalFormatting sqref="AP13 AE13:AH13">
    <cfRule type="cellIs" dxfId="773" priority="3178" stopIfTrue="1" operator="notEqual">
      <formula>ROUND(AE13,0)</formula>
    </cfRule>
  </conditionalFormatting>
  <conditionalFormatting sqref="T13">
    <cfRule type="cellIs" dxfId="772" priority="3175" stopIfTrue="1" operator="notEqual">
      <formula>O13+R13+S13</formula>
    </cfRule>
  </conditionalFormatting>
  <conditionalFormatting sqref="BE13:BI13 BK13:BM13">
    <cfRule type="cellIs" dxfId="771" priority="3174" stopIfTrue="1" operator="greaterThanOrEqual">
      <formula>0</formula>
    </cfRule>
  </conditionalFormatting>
  <conditionalFormatting sqref="X13:Z13">
    <cfRule type="cellIs" dxfId="770" priority="3176" stopIfTrue="1" operator="notEqual">
      <formula>ROUND(X13,0)</formula>
    </cfRule>
  </conditionalFormatting>
  <conditionalFormatting sqref="O13">
    <cfRule type="cellIs" dxfId="769" priority="3173" stopIfTrue="1" operator="notEqual">
      <formula>SUM(P13:Q13)</formula>
    </cfRule>
  </conditionalFormatting>
  <conditionalFormatting sqref="CP13:CQ13">
    <cfRule type="cellIs" dxfId="768" priority="3172" stopIfTrue="1" operator="greaterThanOrEqual">
      <formula>0</formula>
    </cfRule>
  </conditionalFormatting>
  <conditionalFormatting sqref="CO14">
    <cfRule type="cellIs" dxfId="767" priority="3171" stopIfTrue="1" operator="greaterThanOrEqual">
      <formula>0</formula>
    </cfRule>
  </conditionalFormatting>
  <conditionalFormatting sqref="CO15">
    <cfRule type="cellIs" dxfId="766" priority="3170" stopIfTrue="1" operator="greaterThanOrEqual">
      <formula>0</formula>
    </cfRule>
  </conditionalFormatting>
  <conditionalFormatting sqref="CO13">
    <cfRule type="cellIs" dxfId="765" priority="3169" stopIfTrue="1" operator="greaterThanOrEqual">
      <formula>0</formula>
    </cfRule>
  </conditionalFormatting>
  <conditionalFormatting sqref="AJ13">
    <cfRule type="cellIs" dxfId="764" priority="3168" stopIfTrue="1" operator="notEqual">
      <formula>ROUND(AJ13,0)</formula>
    </cfRule>
  </conditionalFormatting>
  <conditionalFormatting sqref="G14:G15">
    <cfRule type="expression" dxfId="763" priority="3167" stopIfTrue="1">
      <formula>G14&lt;&gt;#REF!</formula>
    </cfRule>
  </conditionalFormatting>
  <conditionalFormatting sqref="AE12:AH12 AJ12 AP12">
    <cfRule type="cellIs" dxfId="762" priority="3164" stopIfTrue="1" operator="notEqual">
      <formula>ROUND(AE12,0)</formula>
    </cfRule>
  </conditionalFormatting>
  <conditionalFormatting sqref="T12">
    <cfRule type="cellIs" dxfId="761" priority="3161" stopIfTrue="1" operator="notEqual">
      <formula>O12+R12+S12</formula>
    </cfRule>
  </conditionalFormatting>
  <conditionalFormatting sqref="BE12:BI12 BK12:BM12">
    <cfRule type="cellIs" dxfId="760" priority="3160" stopIfTrue="1" operator="greaterThanOrEqual">
      <formula>0</formula>
    </cfRule>
  </conditionalFormatting>
  <conditionalFormatting sqref="X12:Z12">
    <cfRule type="cellIs" dxfId="759" priority="3162" stopIfTrue="1" operator="notEqual">
      <formula>ROUND(X12,0)</formula>
    </cfRule>
  </conditionalFormatting>
  <conditionalFormatting sqref="O12">
    <cfRule type="cellIs" dxfId="758" priority="3159" stopIfTrue="1" operator="notEqual">
      <formula>SUM(P12:Q12)</formula>
    </cfRule>
  </conditionalFormatting>
  <conditionalFormatting sqref="AI12">
    <cfRule type="cellIs" dxfId="757" priority="3157" stopIfTrue="1" operator="notEqual">
      <formula>ROUND(AI12,0)</formula>
    </cfRule>
  </conditionalFormatting>
  <conditionalFormatting sqref="CP12:CQ12">
    <cfRule type="cellIs" dxfId="756" priority="3156" stopIfTrue="1" operator="greaterThanOrEqual">
      <formula>0</formula>
    </cfRule>
  </conditionalFormatting>
  <conditionalFormatting sqref="AP9 AE9:AH9 AJ9">
    <cfRule type="cellIs" dxfId="755" priority="3153" stopIfTrue="1" operator="notEqual">
      <formula>ROUND(AE9,0)</formula>
    </cfRule>
  </conditionalFormatting>
  <conditionalFormatting sqref="T9">
    <cfRule type="cellIs" dxfId="754" priority="3150" stopIfTrue="1" operator="notEqual">
      <formula>O9+R9+S9</formula>
    </cfRule>
  </conditionalFormatting>
  <conditionalFormatting sqref="BE9:BI9">
    <cfRule type="cellIs" dxfId="753" priority="3149" stopIfTrue="1" operator="greaterThanOrEqual">
      <formula>0</formula>
    </cfRule>
  </conditionalFormatting>
  <conditionalFormatting sqref="X9:Z9">
    <cfRule type="cellIs" dxfId="752" priority="3151" stopIfTrue="1" operator="notEqual">
      <formula>ROUND(X9,0)</formula>
    </cfRule>
  </conditionalFormatting>
  <conditionalFormatting sqref="O9">
    <cfRule type="cellIs" dxfId="751" priority="3148" stopIfTrue="1" operator="notEqual">
      <formula>SUM(P9:Q9)</formula>
    </cfRule>
  </conditionalFormatting>
  <conditionalFormatting sqref="AI9:AI11">
    <cfRule type="cellIs" dxfId="750" priority="3147" stopIfTrue="1" operator="notEqual">
      <formula>ROUND(AI9,0)</formula>
    </cfRule>
  </conditionalFormatting>
  <conditionalFormatting sqref="AE10:AH11 AJ10:AJ11 AP10:AP11">
    <cfRule type="cellIs" dxfId="749" priority="3146" stopIfTrue="1" operator="notEqual">
      <formula>ROUND(AE10,0)</formula>
    </cfRule>
  </conditionalFormatting>
  <conditionalFormatting sqref="T10:T11">
    <cfRule type="cellIs" dxfId="748" priority="3143" stopIfTrue="1" operator="notEqual">
      <formula>O10+R10+S10</formula>
    </cfRule>
  </conditionalFormatting>
  <conditionalFormatting sqref="BE10:BI11 BK10:BM11">
    <cfRule type="cellIs" dxfId="747" priority="3142" stopIfTrue="1" operator="greaterThanOrEqual">
      <formula>0</formula>
    </cfRule>
  </conditionalFormatting>
  <conditionalFormatting sqref="X10:Z11">
    <cfRule type="cellIs" dxfId="746" priority="3144" stopIfTrue="1" operator="notEqual">
      <formula>ROUND(X10,0)</formula>
    </cfRule>
  </conditionalFormatting>
  <conditionalFormatting sqref="O10:O11">
    <cfRule type="cellIs" dxfId="745" priority="3141" stopIfTrue="1" operator="notEqual">
      <formula>SUM(P10:Q10)</formula>
    </cfRule>
  </conditionalFormatting>
  <conditionalFormatting sqref="CP9:CQ9">
    <cfRule type="cellIs" dxfId="744" priority="3140" stopIfTrue="1" operator="greaterThanOrEqual">
      <formula>0</formula>
    </cfRule>
  </conditionalFormatting>
  <conditionalFormatting sqref="CP10:CQ11">
    <cfRule type="cellIs" dxfId="743" priority="3139" stopIfTrue="1" operator="greaterThanOrEqual">
      <formula>0</formula>
    </cfRule>
  </conditionalFormatting>
  <conditionalFormatting sqref="AI8">
    <cfRule type="cellIs" dxfId="742" priority="3136" stopIfTrue="1" operator="notEqual">
      <formula>ROUND(AI8,0)</formula>
    </cfRule>
  </conditionalFormatting>
  <conditionalFormatting sqref="AP8 AE8:AH8">
    <cfRule type="cellIs" dxfId="741" priority="3135" stopIfTrue="1" operator="notEqual">
      <formula>ROUND(AE8,0)</formula>
    </cfRule>
  </conditionalFormatting>
  <conditionalFormatting sqref="T8">
    <cfRule type="cellIs" dxfId="740" priority="3132" stopIfTrue="1" operator="notEqual">
      <formula>O8+R8+S8</formula>
    </cfRule>
  </conditionalFormatting>
  <conditionalFormatting sqref="BE8:BI8">
    <cfRule type="cellIs" dxfId="739" priority="3131" stopIfTrue="1" operator="greaterThanOrEqual">
      <formula>0</formula>
    </cfRule>
  </conditionalFormatting>
  <conditionalFormatting sqref="X8:Z8">
    <cfRule type="cellIs" dxfId="738" priority="3133" stopIfTrue="1" operator="notEqual">
      <formula>ROUND(X8,0)</formula>
    </cfRule>
  </conditionalFormatting>
  <conditionalFormatting sqref="O8">
    <cfRule type="cellIs" dxfId="737" priority="3130" stopIfTrue="1" operator="notEqual">
      <formula>SUM(P8:Q8)</formula>
    </cfRule>
  </conditionalFormatting>
  <conditionalFormatting sqref="CP8:CQ8">
    <cfRule type="cellIs" dxfId="736" priority="3129" stopIfTrue="1" operator="greaterThanOrEqual">
      <formula>0</formula>
    </cfRule>
  </conditionalFormatting>
  <conditionalFormatting sqref="CO12">
    <cfRule type="cellIs" dxfId="735" priority="3128" stopIfTrue="1" operator="greaterThanOrEqual">
      <formula>0</formula>
    </cfRule>
  </conditionalFormatting>
  <conditionalFormatting sqref="CO9">
    <cfRule type="cellIs" dxfId="734" priority="3127" stopIfTrue="1" operator="greaterThanOrEqual">
      <formula>0</formula>
    </cfRule>
  </conditionalFormatting>
  <conditionalFormatting sqref="CO10:CO11">
    <cfRule type="cellIs" dxfId="733" priority="3126" stopIfTrue="1" operator="greaterThanOrEqual">
      <formula>0</formula>
    </cfRule>
  </conditionalFormatting>
  <conditionalFormatting sqref="CO8">
    <cfRule type="cellIs" dxfId="732" priority="3125" stopIfTrue="1" operator="greaterThanOrEqual">
      <formula>0</formula>
    </cfRule>
  </conditionalFormatting>
  <conditionalFormatting sqref="AE7:AH7 AP7">
    <cfRule type="cellIs" dxfId="731" priority="3121" stopIfTrue="1" operator="notEqual">
      <formula>ROUND(AE7,0)</formula>
    </cfRule>
  </conditionalFormatting>
  <conditionalFormatting sqref="T7">
    <cfRule type="cellIs" dxfId="730" priority="3118" stopIfTrue="1" operator="notEqual">
      <formula>O7+R7+S7</formula>
    </cfRule>
  </conditionalFormatting>
  <conditionalFormatting sqref="BE7:BI7">
    <cfRule type="cellIs" dxfId="729" priority="3117" stopIfTrue="1" operator="greaterThanOrEqual">
      <formula>0</formula>
    </cfRule>
  </conditionalFormatting>
  <conditionalFormatting sqref="X7:Z7">
    <cfRule type="cellIs" dxfId="728" priority="3119" stopIfTrue="1" operator="notEqual">
      <formula>ROUND(X7,0)</formula>
    </cfRule>
  </conditionalFormatting>
  <conditionalFormatting sqref="O7">
    <cfRule type="cellIs" dxfId="727" priority="3116" stopIfTrue="1" operator="notEqual">
      <formula>SUM(P7:Q7)</formula>
    </cfRule>
  </conditionalFormatting>
  <conditionalFormatting sqref="AI7">
    <cfRule type="cellIs" dxfId="726" priority="3114" stopIfTrue="1" operator="notEqual">
      <formula>ROUND(AI7,0)</formula>
    </cfRule>
  </conditionalFormatting>
  <conditionalFormatting sqref="CP7:CQ7">
    <cfRule type="cellIs" dxfId="725" priority="3113" stopIfTrue="1" operator="greaterThanOrEqual">
      <formula>0</formula>
    </cfRule>
  </conditionalFormatting>
  <conditionalFormatting sqref="AI6">
    <cfRule type="cellIs" dxfId="724" priority="3110" stopIfTrue="1" operator="notEqual">
      <formula>ROUND(AI6,0)</formula>
    </cfRule>
  </conditionalFormatting>
  <conditionalFormatting sqref="T6">
    <cfRule type="cellIs" dxfId="723" priority="3106" stopIfTrue="1" operator="notEqual">
      <formula>O6+R6+S6</formula>
    </cfRule>
  </conditionalFormatting>
  <conditionalFormatting sqref="BE6:BI6">
    <cfRule type="cellIs" dxfId="722" priority="3105" stopIfTrue="1" operator="greaterThanOrEqual">
      <formula>0</formula>
    </cfRule>
  </conditionalFormatting>
  <conditionalFormatting sqref="X6:Z6">
    <cfRule type="cellIs" dxfId="721" priority="3107" stopIfTrue="1" operator="notEqual">
      <formula>ROUND(X6,0)</formula>
    </cfRule>
  </conditionalFormatting>
  <conditionalFormatting sqref="O6">
    <cfRule type="cellIs" dxfId="720" priority="3104" stopIfTrue="1" operator="notEqual">
      <formula>SUM(P6:Q6)</formula>
    </cfRule>
  </conditionalFormatting>
  <conditionalFormatting sqref="CP6:CQ6">
    <cfRule type="cellIs" dxfId="719" priority="3103" stopIfTrue="1" operator="greaterThanOrEqual">
      <formula>0</formula>
    </cfRule>
  </conditionalFormatting>
  <conditionalFormatting sqref="CO7">
    <cfRule type="cellIs" dxfId="718" priority="3102" stopIfTrue="1" operator="greaterThanOrEqual">
      <formula>0</formula>
    </cfRule>
  </conditionalFormatting>
  <conditionalFormatting sqref="CO6">
    <cfRule type="cellIs" dxfId="717" priority="3101" stopIfTrue="1" operator="greaterThanOrEqual">
      <formula>0</formula>
    </cfRule>
  </conditionalFormatting>
  <conditionalFormatting sqref="AA6:AC15">
    <cfRule type="cellIs" dxfId="716" priority="3098" stopIfTrue="1" operator="notEqual">
      <formula>ROUND(AA6,0)</formula>
    </cfRule>
  </conditionalFormatting>
  <conditionalFormatting sqref="AE24:AH24 AJ24 AP24">
    <cfRule type="cellIs" dxfId="715" priority="2990" stopIfTrue="1" operator="notEqual">
      <formula>ROUND(AE24,0)</formula>
    </cfRule>
  </conditionalFormatting>
  <conditionalFormatting sqref="AI24">
    <cfRule type="cellIs" dxfId="714" priority="2983" stopIfTrue="1" operator="notEqual">
      <formula>ROUND(AI24,0)</formula>
    </cfRule>
  </conditionalFormatting>
  <conditionalFormatting sqref="AP21 AE21:AH21 AJ21">
    <cfRule type="cellIs" dxfId="713" priority="2979" stopIfTrue="1" operator="notEqual">
      <formula>ROUND(AE21,0)</formula>
    </cfRule>
  </conditionalFormatting>
  <conditionalFormatting sqref="AI33">
    <cfRule type="cellIs" dxfId="712" priority="3082" stopIfTrue="1" operator="notEqual">
      <formula>ROUND(AI33,0)</formula>
    </cfRule>
  </conditionalFormatting>
  <conditionalFormatting sqref="AJ33 AE33:AH33 AP33">
    <cfRule type="cellIs" dxfId="711" priority="3081" stopIfTrue="1" operator="notEqual">
      <formula>ROUND(AE33,0)</formula>
    </cfRule>
  </conditionalFormatting>
  <conditionalFormatting sqref="T33">
    <cfRule type="cellIs" dxfId="710" priority="3078" stopIfTrue="1" operator="notEqual">
      <formula>O33+R33+S33</formula>
    </cfRule>
  </conditionalFormatting>
  <conditionalFormatting sqref="BK33:BM33 BE33:BI33">
    <cfRule type="cellIs" dxfId="709" priority="3077" stopIfTrue="1" operator="greaterThanOrEqual">
      <formula>0</formula>
    </cfRule>
  </conditionalFormatting>
  <conditionalFormatting sqref="X33:Z33">
    <cfRule type="cellIs" dxfId="708" priority="3079" stopIfTrue="1" operator="notEqual">
      <formula>ROUND(X33,0)</formula>
    </cfRule>
  </conditionalFormatting>
  <conditionalFormatting sqref="O33">
    <cfRule type="cellIs" dxfId="707" priority="3076" stopIfTrue="1" operator="notEqual">
      <formula>SUM(P33:Q33)</formula>
    </cfRule>
  </conditionalFormatting>
  <conditionalFormatting sqref="CP33:CQ33">
    <cfRule type="cellIs" dxfId="706" priority="3075" stopIfTrue="1" operator="greaterThanOrEqual">
      <formula>0</formula>
    </cfRule>
  </conditionalFormatting>
  <conditionalFormatting sqref="CO33">
    <cfRule type="cellIs" dxfId="705" priority="3073" stopIfTrue="1" operator="greaterThanOrEqual">
      <formula>0</formula>
    </cfRule>
  </conditionalFormatting>
  <conditionalFormatting sqref="G33">
    <cfRule type="expression" dxfId="704" priority="3072" stopIfTrue="1">
      <formula>G33&lt;&gt;#REF!</formula>
    </cfRule>
  </conditionalFormatting>
  <conditionalFormatting sqref="AA33:AC33">
    <cfRule type="cellIs" dxfId="703" priority="3070" stopIfTrue="1" operator="notEqual">
      <formula>ROUND(AA33,0)</formula>
    </cfRule>
  </conditionalFormatting>
  <conditionalFormatting sqref="AD33">
    <cfRule type="cellIs" dxfId="702" priority="3069" stopIfTrue="1" operator="notEqual">
      <formula>ROUND(AD33,0)</formula>
    </cfRule>
  </conditionalFormatting>
  <conditionalFormatting sqref="AP31 AE31:AH31 AJ31">
    <cfRule type="cellIs" dxfId="701" priority="3066" stopIfTrue="1" operator="notEqual">
      <formula>ROUND(AE31,0)</formula>
    </cfRule>
  </conditionalFormatting>
  <conditionalFormatting sqref="T31">
    <cfRule type="cellIs" dxfId="700" priority="3063" stopIfTrue="1" operator="notEqual">
      <formula>O31+R31+S31</formula>
    </cfRule>
  </conditionalFormatting>
  <conditionalFormatting sqref="BK31:BM31 BE31:BI31">
    <cfRule type="cellIs" dxfId="699" priority="3062" stopIfTrue="1" operator="greaterThanOrEqual">
      <formula>0</formula>
    </cfRule>
  </conditionalFormatting>
  <conditionalFormatting sqref="X31:Z31">
    <cfRule type="cellIs" dxfId="698" priority="3064" stopIfTrue="1" operator="notEqual">
      <formula>ROUND(X31,0)</formula>
    </cfRule>
  </conditionalFormatting>
  <conditionalFormatting sqref="O31">
    <cfRule type="cellIs" dxfId="697" priority="3061" stopIfTrue="1" operator="notEqual">
      <formula>SUM(P31:Q31)</formula>
    </cfRule>
  </conditionalFormatting>
  <conditionalFormatting sqref="AI31:AI32">
    <cfRule type="cellIs" dxfId="696" priority="3060" stopIfTrue="1" operator="notEqual">
      <formula>ROUND(AI31,0)</formula>
    </cfRule>
  </conditionalFormatting>
  <conditionalFormatting sqref="AP32 AE32:AH32 AJ32">
    <cfRule type="cellIs" dxfId="695" priority="3059" stopIfTrue="1" operator="notEqual">
      <formula>ROUND(AE32,0)</formula>
    </cfRule>
  </conditionalFormatting>
  <conditionalFormatting sqref="T32">
    <cfRule type="cellIs" dxfId="694" priority="3056" stopIfTrue="1" operator="notEqual">
      <formula>O32+R32+S32</formula>
    </cfRule>
  </conditionalFormatting>
  <conditionalFormatting sqref="BE32:BI32 BK32:BM32">
    <cfRule type="cellIs" dxfId="693" priority="3055" stopIfTrue="1" operator="greaterThanOrEqual">
      <formula>0</formula>
    </cfRule>
  </conditionalFormatting>
  <conditionalFormatting sqref="X32:Z32">
    <cfRule type="cellIs" dxfId="692" priority="3057" stopIfTrue="1" operator="notEqual">
      <formula>ROUND(X32,0)</formula>
    </cfRule>
  </conditionalFormatting>
  <conditionalFormatting sqref="O32">
    <cfRule type="cellIs" dxfId="691" priority="3054" stopIfTrue="1" operator="notEqual">
      <formula>SUM(P32:Q32)</formula>
    </cfRule>
  </conditionalFormatting>
  <conditionalFormatting sqref="CP31:CQ31">
    <cfRule type="cellIs" dxfId="690" priority="3053" stopIfTrue="1" operator="greaterThanOrEqual">
      <formula>0</formula>
    </cfRule>
  </conditionalFormatting>
  <conditionalFormatting sqref="CP32:CQ32">
    <cfRule type="cellIs" dxfId="689" priority="3052" stopIfTrue="1" operator="greaterThanOrEqual">
      <formula>0</formula>
    </cfRule>
  </conditionalFormatting>
  <conditionalFormatting sqref="AE19:AH19 AJ19 AP19">
    <cfRule type="cellIs" dxfId="688" priority="2946" stopIfTrue="1" operator="notEqual">
      <formula>ROUND(AE19,0)</formula>
    </cfRule>
  </conditionalFormatting>
  <conditionalFormatting sqref="AI30">
    <cfRule type="cellIs" dxfId="687" priority="3049" stopIfTrue="1" operator="notEqual">
      <formula>ROUND(AI30,0)</formula>
    </cfRule>
  </conditionalFormatting>
  <conditionalFormatting sqref="AP30 AE30:AH30">
    <cfRule type="cellIs" dxfId="686" priority="3048" stopIfTrue="1" operator="notEqual">
      <formula>ROUND(AE30,0)</formula>
    </cfRule>
  </conditionalFormatting>
  <conditionalFormatting sqref="T30">
    <cfRule type="cellIs" dxfId="685" priority="3045" stopIfTrue="1" operator="notEqual">
      <formula>O30+R30+S30</formula>
    </cfRule>
  </conditionalFormatting>
  <conditionalFormatting sqref="BE30:BI30 BK30:BM30">
    <cfRule type="cellIs" dxfId="684" priority="3044" stopIfTrue="1" operator="greaterThanOrEqual">
      <formula>0</formula>
    </cfRule>
  </conditionalFormatting>
  <conditionalFormatting sqref="X30:Z30">
    <cfRule type="cellIs" dxfId="683" priority="3046" stopIfTrue="1" operator="notEqual">
      <formula>ROUND(X30,0)</formula>
    </cfRule>
  </conditionalFormatting>
  <conditionalFormatting sqref="O30">
    <cfRule type="cellIs" dxfId="682" priority="3043" stopIfTrue="1" operator="notEqual">
      <formula>SUM(P30:Q30)</formula>
    </cfRule>
  </conditionalFormatting>
  <conditionalFormatting sqref="CP30:CQ30">
    <cfRule type="cellIs" dxfId="681" priority="3042" stopIfTrue="1" operator="greaterThanOrEqual">
      <formula>0</formula>
    </cfRule>
  </conditionalFormatting>
  <conditionalFormatting sqref="CO31">
    <cfRule type="cellIs" dxfId="680" priority="3041" stopIfTrue="1" operator="greaterThanOrEqual">
      <formula>0</formula>
    </cfRule>
  </conditionalFormatting>
  <conditionalFormatting sqref="CO32">
    <cfRule type="cellIs" dxfId="679" priority="3040" stopIfTrue="1" operator="greaterThanOrEqual">
      <formula>0</formula>
    </cfRule>
  </conditionalFormatting>
  <conditionalFormatting sqref="CO30">
    <cfRule type="cellIs" dxfId="678" priority="3039" stopIfTrue="1" operator="greaterThanOrEqual">
      <formula>0</formula>
    </cfRule>
  </conditionalFormatting>
  <conditionalFormatting sqref="AJ30">
    <cfRule type="cellIs" dxfId="677" priority="3038" stopIfTrue="1" operator="notEqual">
      <formula>ROUND(AJ30,0)</formula>
    </cfRule>
  </conditionalFormatting>
  <conditionalFormatting sqref="G30:G32">
    <cfRule type="expression" dxfId="676" priority="3037" stopIfTrue="1">
      <formula>G30&lt;&gt;#REF!</formula>
    </cfRule>
  </conditionalFormatting>
  <conditionalFormatting sqref="AE29:AH29 AJ29 AP29">
    <cfRule type="cellIs" dxfId="675" priority="3034" stopIfTrue="1" operator="notEqual">
      <formula>ROUND(AE29,0)</formula>
    </cfRule>
  </conditionalFormatting>
  <conditionalFormatting sqref="T29">
    <cfRule type="cellIs" dxfId="674" priority="3031" stopIfTrue="1" operator="notEqual">
      <formula>O29+R29+S29</formula>
    </cfRule>
  </conditionalFormatting>
  <conditionalFormatting sqref="BE29:BI29 BK29:BM29">
    <cfRule type="cellIs" dxfId="673" priority="3030" stopIfTrue="1" operator="greaterThanOrEqual">
      <formula>0</formula>
    </cfRule>
  </conditionalFormatting>
  <conditionalFormatting sqref="X29:Z29">
    <cfRule type="cellIs" dxfId="672" priority="3032" stopIfTrue="1" operator="notEqual">
      <formula>ROUND(X29,0)</formula>
    </cfRule>
  </conditionalFormatting>
  <conditionalFormatting sqref="O29">
    <cfRule type="cellIs" dxfId="671" priority="3029" stopIfTrue="1" operator="notEqual">
      <formula>SUM(P29:Q29)</formula>
    </cfRule>
  </conditionalFormatting>
  <conditionalFormatting sqref="AI29">
    <cfRule type="cellIs" dxfId="670" priority="3027" stopIfTrue="1" operator="notEqual">
      <formula>ROUND(AI29,0)</formula>
    </cfRule>
  </conditionalFormatting>
  <conditionalFormatting sqref="CP29:CQ29">
    <cfRule type="cellIs" dxfId="669" priority="3026" stopIfTrue="1" operator="greaterThanOrEqual">
      <formula>0</formula>
    </cfRule>
  </conditionalFormatting>
  <conditionalFormatting sqref="AP26 AE26:AH26 AJ26">
    <cfRule type="cellIs" dxfId="668" priority="3023" stopIfTrue="1" operator="notEqual">
      <formula>ROUND(AE26,0)</formula>
    </cfRule>
  </conditionalFormatting>
  <conditionalFormatting sqref="T26">
    <cfRule type="cellIs" dxfId="667" priority="3020" stopIfTrue="1" operator="notEqual">
      <formula>O26+R26+S26</formula>
    </cfRule>
  </conditionalFormatting>
  <conditionalFormatting sqref="BK26:BM26 BE26:BI26">
    <cfRule type="cellIs" dxfId="666" priority="3019" stopIfTrue="1" operator="greaterThanOrEqual">
      <formula>0</formula>
    </cfRule>
  </conditionalFormatting>
  <conditionalFormatting sqref="X26:Z26">
    <cfRule type="cellIs" dxfId="665" priority="3021" stopIfTrue="1" operator="notEqual">
      <formula>ROUND(X26,0)</formula>
    </cfRule>
  </conditionalFormatting>
  <conditionalFormatting sqref="O26">
    <cfRule type="cellIs" dxfId="664" priority="3018" stopIfTrue="1" operator="notEqual">
      <formula>SUM(P26:Q26)</formula>
    </cfRule>
  </conditionalFormatting>
  <conditionalFormatting sqref="AI26:AI28">
    <cfRule type="cellIs" dxfId="663" priority="3017" stopIfTrue="1" operator="notEqual">
      <formula>ROUND(AI26,0)</formula>
    </cfRule>
  </conditionalFormatting>
  <conditionalFormatting sqref="AP27:AP28 AE27:AH28 AJ27:AJ28">
    <cfRule type="cellIs" dxfId="662" priority="3016" stopIfTrue="1" operator="notEqual">
      <formula>ROUND(AE27,0)</formula>
    </cfRule>
  </conditionalFormatting>
  <conditionalFormatting sqref="T27:T28">
    <cfRule type="cellIs" dxfId="661" priority="3013" stopIfTrue="1" operator="notEqual">
      <formula>O27+R27+S27</formula>
    </cfRule>
  </conditionalFormatting>
  <conditionalFormatting sqref="BE27:BI28 BK27:BM28">
    <cfRule type="cellIs" dxfId="660" priority="3012" stopIfTrue="1" operator="greaterThanOrEqual">
      <formula>0</formula>
    </cfRule>
  </conditionalFormatting>
  <conditionalFormatting sqref="X27:Z28">
    <cfRule type="cellIs" dxfId="659" priority="3014" stopIfTrue="1" operator="notEqual">
      <formula>ROUND(X27,0)</formula>
    </cfRule>
  </conditionalFormatting>
  <conditionalFormatting sqref="O27:O28">
    <cfRule type="cellIs" dxfId="658" priority="3011" stopIfTrue="1" operator="notEqual">
      <formula>SUM(P27:Q27)</formula>
    </cfRule>
  </conditionalFormatting>
  <conditionalFormatting sqref="CP26:CQ26">
    <cfRule type="cellIs" dxfId="657" priority="3010" stopIfTrue="1" operator="greaterThanOrEqual">
      <formula>0</formula>
    </cfRule>
  </conditionalFormatting>
  <conditionalFormatting sqref="CP27:CQ28">
    <cfRule type="cellIs" dxfId="656" priority="3009" stopIfTrue="1" operator="greaterThanOrEqual">
      <formula>0</formula>
    </cfRule>
  </conditionalFormatting>
  <conditionalFormatting sqref="AI25">
    <cfRule type="cellIs" dxfId="655" priority="3006" stopIfTrue="1" operator="notEqual">
      <formula>ROUND(AI25,0)</formula>
    </cfRule>
  </conditionalFormatting>
  <conditionalFormatting sqref="AP25 AE25:AH25">
    <cfRule type="cellIs" dxfId="654" priority="3005" stopIfTrue="1" operator="notEqual">
      <formula>ROUND(AE25,0)</formula>
    </cfRule>
  </conditionalFormatting>
  <conditionalFormatting sqref="T25">
    <cfRule type="cellIs" dxfId="653" priority="3002" stopIfTrue="1" operator="notEqual">
      <formula>O25+R25+S25</formula>
    </cfRule>
  </conditionalFormatting>
  <conditionalFormatting sqref="BE25:BI25 BK25:BM25">
    <cfRule type="cellIs" dxfId="652" priority="3001" stopIfTrue="1" operator="greaterThanOrEqual">
      <formula>0</formula>
    </cfRule>
  </conditionalFormatting>
  <conditionalFormatting sqref="X25:Z25">
    <cfRule type="cellIs" dxfId="651" priority="3003" stopIfTrue="1" operator="notEqual">
      <formula>ROUND(X25,0)</formula>
    </cfRule>
  </conditionalFormatting>
  <conditionalFormatting sqref="O25">
    <cfRule type="cellIs" dxfId="650" priority="3000" stopIfTrue="1" operator="notEqual">
      <formula>SUM(P25:Q25)</formula>
    </cfRule>
  </conditionalFormatting>
  <conditionalFormatting sqref="CP25:CQ25">
    <cfRule type="cellIs" dxfId="649" priority="2999" stopIfTrue="1" operator="greaterThanOrEqual">
      <formula>0</formula>
    </cfRule>
  </conditionalFormatting>
  <conditionalFormatting sqref="CO29">
    <cfRule type="cellIs" dxfId="648" priority="2998" stopIfTrue="1" operator="greaterThanOrEqual">
      <formula>0</formula>
    </cfRule>
  </conditionalFormatting>
  <conditionalFormatting sqref="CO26">
    <cfRule type="cellIs" dxfId="647" priority="2997" stopIfTrue="1" operator="greaterThanOrEqual">
      <formula>0</formula>
    </cfRule>
  </conditionalFormatting>
  <conditionalFormatting sqref="CO27:CO28">
    <cfRule type="cellIs" dxfId="646" priority="2996" stopIfTrue="1" operator="greaterThanOrEqual">
      <formula>0</formula>
    </cfRule>
  </conditionalFormatting>
  <conditionalFormatting sqref="CO25">
    <cfRule type="cellIs" dxfId="645" priority="2995" stopIfTrue="1" operator="greaterThanOrEqual">
      <formula>0</formula>
    </cfRule>
  </conditionalFormatting>
  <conditionalFormatting sqref="AJ25">
    <cfRule type="cellIs" dxfId="644" priority="2994" stopIfTrue="1" operator="notEqual">
      <formula>ROUND(AJ25,0)</formula>
    </cfRule>
  </conditionalFormatting>
  <conditionalFormatting sqref="G25:G29">
    <cfRule type="expression" dxfId="643" priority="2993" stopIfTrue="1">
      <formula>G25&lt;&gt;#REF!</formula>
    </cfRule>
  </conditionalFormatting>
  <conditionalFormatting sqref="T24">
    <cfRule type="cellIs" dxfId="642" priority="2987" stopIfTrue="1" operator="notEqual">
      <formula>O24+R24+S24</formula>
    </cfRule>
  </conditionalFormatting>
  <conditionalFormatting sqref="BE24:BI24 BK24:BM24">
    <cfRule type="cellIs" dxfId="641" priority="2986" stopIfTrue="1" operator="greaterThanOrEqual">
      <formula>0</formula>
    </cfRule>
  </conditionalFormatting>
  <conditionalFormatting sqref="X24:Z24">
    <cfRule type="cellIs" dxfId="640" priority="2988" stopIfTrue="1" operator="notEqual">
      <formula>ROUND(X24,0)</formula>
    </cfRule>
  </conditionalFormatting>
  <conditionalFormatting sqref="O24">
    <cfRule type="cellIs" dxfId="639" priority="2985" stopIfTrue="1" operator="notEqual">
      <formula>SUM(P24:Q24)</formula>
    </cfRule>
  </conditionalFormatting>
  <conditionalFormatting sqref="CP24:CQ24">
    <cfRule type="cellIs" dxfId="638" priority="2982" stopIfTrue="1" operator="greaterThanOrEqual">
      <formula>0</formula>
    </cfRule>
  </conditionalFormatting>
  <conditionalFormatting sqref="T21">
    <cfRule type="cellIs" dxfId="637" priority="2976" stopIfTrue="1" operator="notEqual">
      <formula>O21+R21+S21</formula>
    </cfRule>
  </conditionalFormatting>
  <conditionalFormatting sqref="BK21:BM21 BE21:BI21">
    <cfRule type="cellIs" dxfId="636" priority="2975" stopIfTrue="1" operator="greaterThanOrEqual">
      <formula>0</formula>
    </cfRule>
  </conditionalFormatting>
  <conditionalFormatting sqref="X21:Z21">
    <cfRule type="cellIs" dxfId="635" priority="2977" stopIfTrue="1" operator="notEqual">
      <formula>ROUND(X21,0)</formula>
    </cfRule>
  </conditionalFormatting>
  <conditionalFormatting sqref="O21">
    <cfRule type="cellIs" dxfId="634" priority="2974" stopIfTrue="1" operator="notEqual">
      <formula>SUM(P21:Q21)</formula>
    </cfRule>
  </conditionalFormatting>
  <conditionalFormatting sqref="AI21:AI23">
    <cfRule type="cellIs" dxfId="633" priority="2973" stopIfTrue="1" operator="notEqual">
      <formula>ROUND(AI21,0)</formula>
    </cfRule>
  </conditionalFormatting>
  <conditionalFormatting sqref="AP22:AP23 AE22:AH23 AJ22:AJ23">
    <cfRule type="cellIs" dxfId="632" priority="2972" stopIfTrue="1" operator="notEqual">
      <formula>ROUND(AE22,0)</formula>
    </cfRule>
  </conditionalFormatting>
  <conditionalFormatting sqref="T22:T23">
    <cfRule type="cellIs" dxfId="631" priority="2969" stopIfTrue="1" operator="notEqual">
      <formula>O22+R22+S22</formula>
    </cfRule>
  </conditionalFormatting>
  <conditionalFormatting sqref="BE22:BI23 BK22:BM23">
    <cfRule type="cellIs" dxfId="630" priority="2968" stopIfTrue="1" operator="greaterThanOrEqual">
      <formula>0</formula>
    </cfRule>
  </conditionalFormatting>
  <conditionalFormatting sqref="X22:Z23">
    <cfRule type="cellIs" dxfId="629" priority="2970" stopIfTrue="1" operator="notEqual">
      <formula>ROUND(X22,0)</formula>
    </cfRule>
  </conditionalFormatting>
  <conditionalFormatting sqref="O22:O23">
    <cfRule type="cellIs" dxfId="628" priority="2967" stopIfTrue="1" operator="notEqual">
      <formula>SUM(P22:Q22)</formula>
    </cfRule>
  </conditionalFormatting>
  <conditionalFormatting sqref="CP21:CQ21">
    <cfRule type="cellIs" dxfId="627" priority="2966" stopIfTrue="1" operator="greaterThanOrEqual">
      <formula>0</formula>
    </cfRule>
  </conditionalFormatting>
  <conditionalFormatting sqref="CP22:CQ23">
    <cfRule type="cellIs" dxfId="626" priority="2965" stopIfTrue="1" operator="greaterThanOrEqual">
      <formula>0</formula>
    </cfRule>
  </conditionalFormatting>
  <conditionalFormatting sqref="AI20">
    <cfRule type="cellIs" dxfId="625" priority="2962" stopIfTrue="1" operator="notEqual">
      <formula>ROUND(AI20,0)</formula>
    </cfRule>
  </conditionalFormatting>
  <conditionalFormatting sqref="AP20 AE20:AH20">
    <cfRule type="cellIs" dxfId="624" priority="2961" stopIfTrue="1" operator="notEqual">
      <formula>ROUND(AE20,0)</formula>
    </cfRule>
  </conditionalFormatting>
  <conditionalFormatting sqref="T20">
    <cfRule type="cellIs" dxfId="623" priority="2958" stopIfTrue="1" operator="notEqual">
      <formula>O20+R20+S20</formula>
    </cfRule>
  </conditionalFormatting>
  <conditionalFormatting sqref="BE20:BI20 BK20:BM20">
    <cfRule type="cellIs" dxfId="622" priority="2957" stopIfTrue="1" operator="greaterThanOrEqual">
      <formula>0</formula>
    </cfRule>
  </conditionalFormatting>
  <conditionalFormatting sqref="X20:Z20">
    <cfRule type="cellIs" dxfId="621" priority="2959" stopIfTrue="1" operator="notEqual">
      <formula>ROUND(X20,0)</formula>
    </cfRule>
  </conditionalFormatting>
  <conditionalFormatting sqref="O20">
    <cfRule type="cellIs" dxfId="620" priority="2956" stopIfTrue="1" operator="notEqual">
      <formula>SUM(P20:Q20)</formula>
    </cfRule>
  </conditionalFormatting>
  <conditionalFormatting sqref="CP20:CQ20">
    <cfRule type="cellIs" dxfId="619" priority="2955" stopIfTrue="1" operator="greaterThanOrEqual">
      <formula>0</formula>
    </cfRule>
  </conditionalFormatting>
  <conditionalFormatting sqref="CO24">
    <cfRule type="cellIs" dxfId="618" priority="2954" stopIfTrue="1" operator="greaterThanOrEqual">
      <formula>0</formula>
    </cfRule>
  </conditionalFormatting>
  <conditionalFormatting sqref="CO21">
    <cfRule type="cellIs" dxfId="617" priority="2953" stopIfTrue="1" operator="greaterThanOrEqual">
      <formula>0</formula>
    </cfRule>
  </conditionalFormatting>
  <conditionalFormatting sqref="CO22:CO23">
    <cfRule type="cellIs" dxfId="616" priority="2952" stopIfTrue="1" operator="greaterThanOrEqual">
      <formula>0</formula>
    </cfRule>
  </conditionalFormatting>
  <conditionalFormatting sqref="CO20">
    <cfRule type="cellIs" dxfId="615" priority="2951" stopIfTrue="1" operator="greaterThanOrEqual">
      <formula>0</formula>
    </cfRule>
  </conditionalFormatting>
  <conditionalFormatting sqref="AJ20">
    <cfRule type="cellIs" dxfId="614" priority="2950" stopIfTrue="1" operator="notEqual">
      <formula>ROUND(AJ20,0)</formula>
    </cfRule>
  </conditionalFormatting>
  <conditionalFormatting sqref="G20:G24">
    <cfRule type="expression" dxfId="613" priority="2949" stopIfTrue="1">
      <formula>G20&lt;&gt;#REF!</formula>
    </cfRule>
  </conditionalFormatting>
  <conditionalFormatting sqref="T19">
    <cfRule type="cellIs" dxfId="612" priority="2943" stopIfTrue="1" operator="notEqual">
      <formula>O19+R19+S19</formula>
    </cfRule>
  </conditionalFormatting>
  <conditionalFormatting sqref="BE19:BI19 BK19:BM19">
    <cfRule type="cellIs" dxfId="611" priority="2942" stopIfTrue="1" operator="greaterThanOrEqual">
      <formula>0</formula>
    </cfRule>
  </conditionalFormatting>
  <conditionalFormatting sqref="X19:Z19">
    <cfRule type="cellIs" dxfId="610" priority="2944" stopIfTrue="1" operator="notEqual">
      <formula>ROUND(X19,0)</formula>
    </cfRule>
  </conditionalFormatting>
  <conditionalFormatting sqref="O19">
    <cfRule type="cellIs" dxfId="609" priority="2941" stopIfTrue="1" operator="notEqual">
      <formula>SUM(P19:Q19)</formula>
    </cfRule>
  </conditionalFormatting>
  <conditionalFormatting sqref="AI19">
    <cfRule type="cellIs" dxfId="608" priority="2939" stopIfTrue="1" operator="notEqual">
      <formula>ROUND(AI19,0)</formula>
    </cfRule>
  </conditionalFormatting>
  <conditionalFormatting sqref="CP19:CQ19">
    <cfRule type="cellIs" dxfId="607" priority="2938" stopIfTrue="1" operator="greaterThanOrEqual">
      <formula>0</formula>
    </cfRule>
  </conditionalFormatting>
  <conditionalFormatting sqref="AI18">
    <cfRule type="cellIs" dxfId="606" priority="2935" stopIfTrue="1" operator="notEqual">
      <formula>ROUND(AI18,0)</formula>
    </cfRule>
  </conditionalFormatting>
  <conditionalFormatting sqref="AP18 AE18:AH18 AJ18">
    <cfRule type="cellIs" dxfId="605" priority="2934" stopIfTrue="1" operator="notEqual">
      <formula>ROUND(AE18,0)</formula>
    </cfRule>
  </conditionalFormatting>
  <conditionalFormatting sqref="T18">
    <cfRule type="cellIs" dxfId="604" priority="2931" stopIfTrue="1" operator="notEqual">
      <formula>O18+R18+S18</formula>
    </cfRule>
  </conditionalFormatting>
  <conditionalFormatting sqref="BE18:BI18 BK18:BM18">
    <cfRule type="cellIs" dxfId="603" priority="2930" stopIfTrue="1" operator="greaterThanOrEqual">
      <formula>0</formula>
    </cfRule>
  </conditionalFormatting>
  <conditionalFormatting sqref="X18:Z18">
    <cfRule type="cellIs" dxfId="602" priority="2932" stopIfTrue="1" operator="notEqual">
      <formula>ROUND(X18,0)</formula>
    </cfRule>
  </conditionalFormatting>
  <conditionalFormatting sqref="O18">
    <cfRule type="cellIs" dxfId="601" priority="2929" stopIfTrue="1" operator="notEqual">
      <formula>SUM(P18:Q18)</formula>
    </cfRule>
  </conditionalFormatting>
  <conditionalFormatting sqref="CP18:CQ18">
    <cfRule type="cellIs" dxfId="600" priority="2928" stopIfTrue="1" operator="greaterThanOrEqual">
      <formula>0</formula>
    </cfRule>
  </conditionalFormatting>
  <conditionalFormatting sqref="CO19">
    <cfRule type="cellIs" dxfId="599" priority="2927" stopIfTrue="1" operator="greaterThanOrEqual">
      <formula>0</formula>
    </cfRule>
  </conditionalFormatting>
  <conditionalFormatting sqref="CO18">
    <cfRule type="cellIs" dxfId="598" priority="2926" stopIfTrue="1" operator="greaterThanOrEqual">
      <formula>0</formula>
    </cfRule>
  </conditionalFormatting>
  <conditionalFormatting sqref="G18:G19">
    <cfRule type="expression" dxfId="597" priority="2925" stopIfTrue="1">
      <formula>G18&lt;&gt;#REF!</formula>
    </cfRule>
  </conditionalFormatting>
  <conditionalFormatting sqref="AA18:AC32">
    <cfRule type="cellIs" dxfId="596" priority="2923" stopIfTrue="1" operator="notEqual">
      <formula>ROUND(AA18,0)</formula>
    </cfRule>
  </conditionalFormatting>
  <conditionalFormatting sqref="AD18:AD32">
    <cfRule type="cellIs" dxfId="595" priority="2922" stopIfTrue="1" operator="notEqual">
      <formula>ROUND(AD18,0)</formula>
    </cfRule>
  </conditionalFormatting>
  <conditionalFormatting sqref="F6:F33">
    <cfRule type="containsText" dxfId="594" priority="2920" operator="containsText" text="да">
      <formula>NOT(ISERROR(SEARCH("да",F6)))</formula>
    </cfRule>
  </conditionalFormatting>
  <conditionalFormatting sqref="AE4:AH5 AJ4:AJ5 AP4:AP5">
    <cfRule type="cellIs" dxfId="593" priority="2786" stopIfTrue="1" operator="notEqual">
      <formula>ROUND(AE4,0)</formula>
    </cfRule>
  </conditionalFormatting>
  <conditionalFormatting sqref="T4:T5">
    <cfRule type="cellIs" dxfId="592" priority="2783" stopIfTrue="1" operator="notEqual">
      <formula>O4+R4+S4</formula>
    </cfRule>
  </conditionalFormatting>
  <conditionalFormatting sqref="BE4:BI5">
    <cfRule type="cellIs" dxfId="591" priority="2782" stopIfTrue="1" operator="greaterThanOrEqual">
      <formula>0</formula>
    </cfRule>
  </conditionalFormatting>
  <conditionalFormatting sqref="X4:Z5">
    <cfRule type="cellIs" dxfId="590" priority="2784" stopIfTrue="1" operator="notEqual">
      <formula>ROUND(X4,0)</formula>
    </cfRule>
  </conditionalFormatting>
  <conditionalFormatting sqref="O4:O5">
    <cfRule type="cellIs" dxfId="589" priority="2781" stopIfTrue="1" operator="notEqual">
      <formula>SUM(P4:Q4)</formula>
    </cfRule>
  </conditionalFormatting>
  <conditionalFormatting sqref="AI4:AI5">
    <cfRule type="cellIs" dxfId="588" priority="2779" stopIfTrue="1" operator="notEqual">
      <formula>ROUND(AI4,0)</formula>
    </cfRule>
  </conditionalFormatting>
  <conditionalFormatting sqref="CP4:CQ5">
    <cfRule type="cellIs" dxfId="587" priority="2778" stopIfTrue="1" operator="greaterThanOrEqual">
      <formula>0</formula>
    </cfRule>
  </conditionalFormatting>
  <conditionalFormatting sqref="CO4:CO5">
    <cfRule type="cellIs" dxfId="586" priority="2767" stopIfTrue="1" operator="greaterThanOrEqual">
      <formula>0</formula>
    </cfRule>
  </conditionalFormatting>
  <conditionalFormatting sqref="B4:B50 B93:B94">
    <cfRule type="cellIs" dxfId="585" priority="443" operator="equal">
      <formula>TODAY()</formula>
    </cfRule>
  </conditionalFormatting>
  <conditionalFormatting sqref="G5:G13">
    <cfRule type="expression" dxfId="584" priority="441" stopIfTrue="1">
      <formula>G5&lt;&gt;#REF!</formula>
    </cfRule>
  </conditionalFormatting>
  <conditionalFormatting sqref="BN51:BY85 BN91:BY92 CA91:CN92 CA51:CN85">
    <cfRule type="cellIs" dxfId="583" priority="432" stopIfTrue="1" operator="greaterThanOrEqual">
      <formula>0</formula>
    </cfRule>
  </conditionalFormatting>
  <conditionalFormatting sqref="U71:V85 AK51:AO85 W51:W85 AK91:AO92 U91:W92">
    <cfRule type="cellIs" dxfId="582" priority="431" stopIfTrue="1" operator="notEqual">
      <formula>ROUND(U51,0)</formula>
    </cfRule>
  </conditionalFormatting>
  <conditionalFormatting sqref="AE72:AH72 AJ72 AP72">
    <cfRule type="cellIs" dxfId="581" priority="430" stopIfTrue="1" operator="notEqual">
      <formula>ROUND(AE72,0)</formula>
    </cfRule>
  </conditionalFormatting>
  <conditionalFormatting sqref="T72">
    <cfRule type="cellIs" dxfId="580" priority="428" stopIfTrue="1" operator="notEqual">
      <formula>O72+R72+S72</formula>
    </cfRule>
  </conditionalFormatting>
  <conditionalFormatting sqref="BE72:BI72 BK72:BM72">
    <cfRule type="cellIs" dxfId="579" priority="427" stopIfTrue="1" operator="greaterThanOrEqual">
      <formula>0</formula>
    </cfRule>
  </conditionalFormatting>
  <conditionalFormatting sqref="X72:Z72">
    <cfRule type="cellIs" dxfId="578" priority="429" stopIfTrue="1" operator="notEqual">
      <formula>ROUND(X72,0)</formula>
    </cfRule>
  </conditionalFormatting>
  <conditionalFormatting sqref="O72">
    <cfRule type="cellIs" dxfId="577" priority="426" stopIfTrue="1" operator="notEqual">
      <formula>SUM(P72:Q72)</formula>
    </cfRule>
  </conditionalFormatting>
  <conditionalFormatting sqref="AI72">
    <cfRule type="cellIs" dxfId="576" priority="425" stopIfTrue="1" operator="notEqual">
      <formula>ROUND(AI72,0)</formula>
    </cfRule>
  </conditionalFormatting>
  <conditionalFormatting sqref="CP72:CQ72">
    <cfRule type="cellIs" dxfId="575" priority="424" stopIfTrue="1" operator="greaterThanOrEqual">
      <formula>0</formula>
    </cfRule>
  </conditionalFormatting>
  <conditionalFormatting sqref="AI71">
    <cfRule type="cellIs" dxfId="574" priority="423" stopIfTrue="1" operator="notEqual">
      <formula>ROUND(AI71,0)</formula>
    </cfRule>
  </conditionalFormatting>
  <conditionalFormatting sqref="AJ71 AE71:AH71 AP71">
    <cfRule type="cellIs" dxfId="573" priority="422" stopIfTrue="1" operator="notEqual">
      <formula>ROUND(AE71,0)</formula>
    </cfRule>
  </conditionalFormatting>
  <conditionalFormatting sqref="T71">
    <cfRule type="cellIs" dxfId="572" priority="420" stopIfTrue="1" operator="notEqual">
      <formula>O71+R71+S71</formula>
    </cfRule>
  </conditionalFormatting>
  <conditionalFormatting sqref="BK71:BM71 BE71:BI71">
    <cfRule type="cellIs" dxfId="571" priority="419" stopIfTrue="1" operator="greaterThanOrEqual">
      <formula>0</formula>
    </cfRule>
  </conditionalFormatting>
  <conditionalFormatting sqref="X71:Z71">
    <cfRule type="cellIs" dxfId="570" priority="421" stopIfTrue="1" operator="notEqual">
      <formula>ROUND(X71,0)</formula>
    </cfRule>
  </conditionalFormatting>
  <conditionalFormatting sqref="O71">
    <cfRule type="cellIs" dxfId="569" priority="418" stopIfTrue="1" operator="notEqual">
      <formula>SUM(P71:Q71)</formula>
    </cfRule>
  </conditionalFormatting>
  <conditionalFormatting sqref="CP71:CQ71">
    <cfRule type="cellIs" dxfId="568" priority="417" stopIfTrue="1" operator="greaterThanOrEqual">
      <formula>0</formula>
    </cfRule>
  </conditionalFormatting>
  <conditionalFormatting sqref="CO72">
    <cfRule type="cellIs" dxfId="567" priority="416" stopIfTrue="1" operator="greaterThanOrEqual">
      <formula>0</formula>
    </cfRule>
  </conditionalFormatting>
  <conditionalFormatting sqref="CO71">
    <cfRule type="cellIs" dxfId="566" priority="415" stopIfTrue="1" operator="greaterThanOrEqual">
      <formula>0</formula>
    </cfRule>
  </conditionalFormatting>
  <conditionalFormatting sqref="G71:G72">
    <cfRule type="expression" dxfId="565" priority="414" stopIfTrue="1">
      <formula>G71&lt;&gt;#REF!</formula>
    </cfRule>
  </conditionalFormatting>
  <conditionalFormatting sqref="AA71:AC72">
    <cfRule type="cellIs" dxfId="564" priority="413" stopIfTrue="1" operator="notEqual">
      <formula>ROUND(AA71,0)</formula>
    </cfRule>
  </conditionalFormatting>
  <conditionalFormatting sqref="AD71:AD72">
    <cfRule type="cellIs" dxfId="563" priority="412" stopIfTrue="1" operator="notEqual">
      <formula>ROUND(AD71,0)</formula>
    </cfRule>
  </conditionalFormatting>
  <conditionalFormatting sqref="AI91:AI92">
    <cfRule type="cellIs" dxfId="562" priority="406" stopIfTrue="1" operator="notEqual">
      <formula>ROUND(AI91,0)</formula>
    </cfRule>
  </conditionalFormatting>
  <conditionalFormatting sqref="X80:Z80">
    <cfRule type="cellIs" dxfId="561" priority="364" stopIfTrue="1" operator="notEqual">
      <formula>ROUND(X80,0)</formula>
    </cfRule>
  </conditionalFormatting>
  <conditionalFormatting sqref="X79:Z79">
    <cfRule type="cellIs" dxfId="560" priority="352" stopIfTrue="1" operator="notEqual">
      <formula>ROUND(X79,0)</formula>
    </cfRule>
  </conditionalFormatting>
  <conditionalFormatting sqref="AP91 AE91:AH91 AJ91">
    <cfRule type="cellIs" dxfId="559" priority="411" stopIfTrue="1" operator="notEqual">
      <formula>ROUND(AE91,0)</formula>
    </cfRule>
  </conditionalFormatting>
  <conditionalFormatting sqref="T91">
    <cfRule type="cellIs" dxfId="558" priority="409" stopIfTrue="1" operator="notEqual">
      <formula>O91+R91+S91</formula>
    </cfRule>
  </conditionalFormatting>
  <conditionalFormatting sqref="BK91:BM91 BE91:BI91">
    <cfRule type="cellIs" dxfId="557" priority="408" stopIfTrue="1" operator="greaterThanOrEqual">
      <formula>0</formula>
    </cfRule>
  </conditionalFormatting>
  <conditionalFormatting sqref="X91:Z91">
    <cfRule type="cellIs" dxfId="556" priority="410" stopIfTrue="1" operator="notEqual">
      <formula>ROUND(X91,0)</formula>
    </cfRule>
  </conditionalFormatting>
  <conditionalFormatting sqref="O91">
    <cfRule type="cellIs" dxfId="555" priority="407" stopIfTrue="1" operator="notEqual">
      <formula>SUM(P91:Q91)</formula>
    </cfRule>
  </conditionalFormatting>
  <conditionalFormatting sqref="AP92 AE92:AH92 AJ92">
    <cfRule type="cellIs" dxfId="554" priority="405" stopIfTrue="1" operator="notEqual">
      <formula>ROUND(AE92,0)</formula>
    </cfRule>
  </conditionalFormatting>
  <conditionalFormatting sqref="T92">
    <cfRule type="cellIs" dxfId="553" priority="403" stopIfTrue="1" operator="notEqual">
      <formula>O92+R92+S92</formula>
    </cfRule>
  </conditionalFormatting>
  <conditionalFormatting sqref="BE92:BI92 BK92:BM92">
    <cfRule type="cellIs" dxfId="552" priority="402" stopIfTrue="1" operator="greaterThanOrEqual">
      <formula>0</formula>
    </cfRule>
  </conditionalFormatting>
  <conditionalFormatting sqref="X92:Z92">
    <cfRule type="cellIs" dxfId="551" priority="404" stopIfTrue="1" operator="notEqual">
      <formula>ROUND(X92,0)</formula>
    </cfRule>
  </conditionalFormatting>
  <conditionalFormatting sqref="O92">
    <cfRule type="cellIs" dxfId="550" priority="401" stopIfTrue="1" operator="notEqual">
      <formula>SUM(P92:Q92)</formula>
    </cfRule>
  </conditionalFormatting>
  <conditionalFormatting sqref="CP91:CQ91">
    <cfRule type="cellIs" dxfId="549" priority="400" stopIfTrue="1" operator="greaterThanOrEqual">
      <formula>0</formula>
    </cfRule>
  </conditionalFormatting>
  <conditionalFormatting sqref="CP92:CQ92">
    <cfRule type="cellIs" dxfId="548" priority="399" stopIfTrue="1" operator="greaterThanOrEqual">
      <formula>0</formula>
    </cfRule>
  </conditionalFormatting>
  <conditionalFormatting sqref="AI85">
    <cfRule type="cellIs" dxfId="547" priority="398" stopIfTrue="1" operator="notEqual">
      <formula>ROUND(AI85,0)</formula>
    </cfRule>
  </conditionalFormatting>
  <conditionalFormatting sqref="AP85 AE85:AH85">
    <cfRule type="cellIs" dxfId="546" priority="397" stopIfTrue="1" operator="notEqual">
      <formula>ROUND(AE85,0)</formula>
    </cfRule>
  </conditionalFormatting>
  <conditionalFormatting sqref="T85">
    <cfRule type="cellIs" dxfId="545" priority="395" stopIfTrue="1" operator="notEqual">
      <formula>O85+R85+S85</formula>
    </cfRule>
  </conditionalFormatting>
  <conditionalFormatting sqref="BE85:BI85 BK85:BM85">
    <cfRule type="cellIs" dxfId="544" priority="394" stopIfTrue="1" operator="greaterThanOrEqual">
      <formula>0</formula>
    </cfRule>
  </conditionalFormatting>
  <conditionalFormatting sqref="X85:Z85">
    <cfRule type="cellIs" dxfId="543" priority="396" stopIfTrue="1" operator="notEqual">
      <formula>ROUND(X85,0)</formula>
    </cfRule>
  </conditionalFormatting>
  <conditionalFormatting sqref="O85">
    <cfRule type="cellIs" dxfId="542" priority="393" stopIfTrue="1" operator="notEqual">
      <formula>SUM(P85:Q85)</formula>
    </cfRule>
  </conditionalFormatting>
  <conditionalFormatting sqref="CP85:CQ85">
    <cfRule type="cellIs" dxfId="541" priority="392" stopIfTrue="1" operator="greaterThanOrEqual">
      <formula>0</formula>
    </cfRule>
  </conditionalFormatting>
  <conditionalFormatting sqref="CO91">
    <cfRule type="cellIs" dxfId="540" priority="391" stopIfTrue="1" operator="greaterThanOrEqual">
      <formula>0</formula>
    </cfRule>
  </conditionalFormatting>
  <conditionalFormatting sqref="CO92">
    <cfRule type="cellIs" dxfId="539" priority="390" stopIfTrue="1" operator="greaterThanOrEqual">
      <formula>0</formula>
    </cfRule>
  </conditionalFormatting>
  <conditionalFormatting sqref="CO85">
    <cfRule type="cellIs" dxfId="538" priority="389" stopIfTrue="1" operator="greaterThanOrEqual">
      <formula>0</formula>
    </cfRule>
  </conditionalFormatting>
  <conditionalFormatting sqref="AJ85">
    <cfRule type="cellIs" dxfId="537" priority="388" stopIfTrue="1" operator="notEqual">
      <formula>ROUND(AJ85,0)</formula>
    </cfRule>
  </conditionalFormatting>
  <conditionalFormatting sqref="G85 G91:G92">
    <cfRule type="expression" dxfId="536" priority="387" stopIfTrue="1">
      <formula>G85&lt;&gt;#REF!</formula>
    </cfRule>
  </conditionalFormatting>
  <conditionalFormatting sqref="AI74">
    <cfRule type="cellIs" dxfId="535" priority="315" stopIfTrue="1" operator="notEqual">
      <formula>ROUND(AI74,0)</formula>
    </cfRule>
  </conditionalFormatting>
  <conditionalFormatting sqref="AE84:AH84 AJ84 AP84">
    <cfRule type="cellIs" dxfId="534" priority="386" stopIfTrue="1" operator="notEqual">
      <formula>ROUND(AE84,0)</formula>
    </cfRule>
  </conditionalFormatting>
  <conditionalFormatting sqref="T84">
    <cfRule type="cellIs" dxfId="533" priority="384" stopIfTrue="1" operator="notEqual">
      <formula>O84+R84+S84</formula>
    </cfRule>
  </conditionalFormatting>
  <conditionalFormatting sqref="BE84:BI84 BK84:BM84">
    <cfRule type="cellIs" dxfId="532" priority="383" stopIfTrue="1" operator="greaterThanOrEqual">
      <formula>0</formula>
    </cfRule>
  </conditionalFormatting>
  <conditionalFormatting sqref="X84:Z84">
    <cfRule type="cellIs" dxfId="531" priority="385" stopIfTrue="1" operator="notEqual">
      <formula>ROUND(X84,0)</formula>
    </cfRule>
  </conditionalFormatting>
  <conditionalFormatting sqref="O84">
    <cfRule type="cellIs" dxfId="530" priority="382" stopIfTrue="1" operator="notEqual">
      <formula>SUM(P84:Q84)</formula>
    </cfRule>
  </conditionalFormatting>
  <conditionalFormatting sqref="AI84">
    <cfRule type="cellIs" dxfId="529" priority="381" stopIfTrue="1" operator="notEqual">
      <formula>ROUND(AI84,0)</formula>
    </cfRule>
  </conditionalFormatting>
  <conditionalFormatting sqref="CP84:CQ84">
    <cfRule type="cellIs" dxfId="528" priority="380" stopIfTrue="1" operator="greaterThanOrEqual">
      <formula>0</formula>
    </cfRule>
  </conditionalFormatting>
  <conditionalFormatting sqref="AP81 AE81:AH81 AJ81">
    <cfRule type="cellIs" dxfId="527" priority="379" stopIfTrue="1" operator="notEqual">
      <formula>ROUND(AE81,0)</formula>
    </cfRule>
  </conditionalFormatting>
  <conditionalFormatting sqref="T81">
    <cfRule type="cellIs" dxfId="526" priority="377" stopIfTrue="1" operator="notEqual">
      <formula>O81+R81+S81</formula>
    </cfRule>
  </conditionalFormatting>
  <conditionalFormatting sqref="BK81:BM81 BE81:BI81">
    <cfRule type="cellIs" dxfId="525" priority="376" stopIfTrue="1" operator="greaterThanOrEqual">
      <formula>0</formula>
    </cfRule>
  </conditionalFormatting>
  <conditionalFormatting sqref="X81:Z81">
    <cfRule type="cellIs" dxfId="524" priority="378" stopIfTrue="1" operator="notEqual">
      <formula>ROUND(X81,0)</formula>
    </cfRule>
  </conditionalFormatting>
  <conditionalFormatting sqref="O81">
    <cfRule type="cellIs" dxfId="523" priority="375" stopIfTrue="1" operator="notEqual">
      <formula>SUM(P81:Q81)</formula>
    </cfRule>
  </conditionalFormatting>
  <conditionalFormatting sqref="AI81:AI83">
    <cfRule type="cellIs" dxfId="522" priority="374" stopIfTrue="1" operator="notEqual">
      <formula>ROUND(AI81,0)</formula>
    </cfRule>
  </conditionalFormatting>
  <conditionalFormatting sqref="AP82:AP83 AE82:AH83 AJ82:AJ83">
    <cfRule type="cellIs" dxfId="521" priority="373" stopIfTrue="1" operator="notEqual">
      <formula>ROUND(AE82,0)</formula>
    </cfRule>
  </conditionalFormatting>
  <conditionalFormatting sqref="T82:T83">
    <cfRule type="cellIs" dxfId="520" priority="371" stopIfTrue="1" operator="notEqual">
      <formula>O82+R82+S82</formula>
    </cfRule>
  </conditionalFormatting>
  <conditionalFormatting sqref="BE82:BI83 BK82:BM83">
    <cfRule type="cellIs" dxfId="519" priority="370" stopIfTrue="1" operator="greaterThanOrEqual">
      <formula>0</formula>
    </cfRule>
  </conditionalFormatting>
  <conditionalFormatting sqref="X82:Z83">
    <cfRule type="cellIs" dxfId="518" priority="372" stopIfTrue="1" operator="notEqual">
      <formula>ROUND(X82,0)</formula>
    </cfRule>
  </conditionalFormatting>
  <conditionalFormatting sqref="O82:O83">
    <cfRule type="cellIs" dxfId="517" priority="369" stopIfTrue="1" operator="notEqual">
      <formula>SUM(P82:Q82)</formula>
    </cfRule>
  </conditionalFormatting>
  <conditionalFormatting sqref="CP81:CQ81">
    <cfRule type="cellIs" dxfId="516" priority="368" stopIfTrue="1" operator="greaterThanOrEqual">
      <formula>0</formula>
    </cfRule>
  </conditionalFormatting>
  <conditionalFormatting sqref="CP82:CQ83">
    <cfRule type="cellIs" dxfId="515" priority="367" stopIfTrue="1" operator="greaterThanOrEqual">
      <formula>0</formula>
    </cfRule>
  </conditionalFormatting>
  <conditionalFormatting sqref="AI80">
    <cfRule type="cellIs" dxfId="514" priority="366" stopIfTrue="1" operator="notEqual">
      <formula>ROUND(AI80,0)</formula>
    </cfRule>
  </conditionalFormatting>
  <conditionalFormatting sqref="AP80 AE80:AH80">
    <cfRule type="cellIs" dxfId="513" priority="365" stopIfTrue="1" operator="notEqual">
      <formula>ROUND(AE80,0)</formula>
    </cfRule>
  </conditionalFormatting>
  <conditionalFormatting sqref="T80">
    <cfRule type="cellIs" dxfId="512" priority="363" stopIfTrue="1" operator="notEqual">
      <formula>O80+R80+S80</formula>
    </cfRule>
  </conditionalFormatting>
  <conditionalFormatting sqref="BE80:BI80 BK80:BM80">
    <cfRule type="cellIs" dxfId="511" priority="362" stopIfTrue="1" operator="greaterThanOrEqual">
      <formula>0</formula>
    </cfRule>
  </conditionalFormatting>
  <conditionalFormatting sqref="O80">
    <cfRule type="cellIs" dxfId="510" priority="361" stopIfTrue="1" operator="notEqual">
      <formula>SUM(P80:Q80)</formula>
    </cfRule>
  </conditionalFormatting>
  <conditionalFormatting sqref="CP80:CQ80">
    <cfRule type="cellIs" dxfId="509" priority="360" stopIfTrue="1" operator="greaterThanOrEqual">
      <formula>0</formula>
    </cfRule>
  </conditionalFormatting>
  <conditionalFormatting sqref="CO84">
    <cfRule type="cellIs" dxfId="508" priority="359" stopIfTrue="1" operator="greaterThanOrEqual">
      <formula>0</formula>
    </cfRule>
  </conditionalFormatting>
  <conditionalFormatting sqref="CO81">
    <cfRule type="cellIs" dxfId="507" priority="358" stopIfTrue="1" operator="greaterThanOrEqual">
      <formula>0</formula>
    </cfRule>
  </conditionalFormatting>
  <conditionalFormatting sqref="CO82:CO83">
    <cfRule type="cellIs" dxfId="506" priority="357" stopIfTrue="1" operator="greaterThanOrEqual">
      <formula>0</formula>
    </cfRule>
  </conditionalFormatting>
  <conditionalFormatting sqref="CO80">
    <cfRule type="cellIs" dxfId="505" priority="356" stopIfTrue="1" operator="greaterThanOrEqual">
      <formula>0</formula>
    </cfRule>
  </conditionalFormatting>
  <conditionalFormatting sqref="AJ80">
    <cfRule type="cellIs" dxfId="504" priority="355" stopIfTrue="1" operator="notEqual">
      <formula>ROUND(AJ80,0)</formula>
    </cfRule>
  </conditionalFormatting>
  <conditionalFormatting sqref="G80:G84">
    <cfRule type="expression" dxfId="503" priority="354" stopIfTrue="1">
      <formula>G80&lt;&gt;#REF!</formula>
    </cfRule>
  </conditionalFormatting>
  <conditionalFormatting sqref="AE79:AH79 AJ79 AP79">
    <cfRule type="cellIs" dxfId="502" priority="353" stopIfTrue="1" operator="notEqual">
      <formula>ROUND(AE79,0)</formula>
    </cfRule>
  </conditionalFormatting>
  <conditionalFormatting sqref="T79">
    <cfRule type="cellIs" dxfId="501" priority="351" stopIfTrue="1" operator="notEqual">
      <formula>O79+R79+S79</formula>
    </cfRule>
  </conditionalFormatting>
  <conditionalFormatting sqref="BE79:BI79 BK79:BM79">
    <cfRule type="cellIs" dxfId="500" priority="350" stopIfTrue="1" operator="greaterThanOrEqual">
      <formula>0</formula>
    </cfRule>
  </conditionalFormatting>
  <conditionalFormatting sqref="O79">
    <cfRule type="cellIs" dxfId="499" priority="349" stopIfTrue="1" operator="notEqual">
      <formula>SUM(P79:Q79)</formula>
    </cfRule>
  </conditionalFormatting>
  <conditionalFormatting sqref="AI79">
    <cfRule type="cellIs" dxfId="498" priority="348" stopIfTrue="1" operator="notEqual">
      <formula>ROUND(AI79,0)</formula>
    </cfRule>
  </conditionalFormatting>
  <conditionalFormatting sqref="CP79:CQ79">
    <cfRule type="cellIs" dxfId="497" priority="347" stopIfTrue="1" operator="greaterThanOrEqual">
      <formula>0</formula>
    </cfRule>
  </conditionalFormatting>
  <conditionalFormatting sqref="AP76 AE76:AH76 AJ76">
    <cfRule type="cellIs" dxfId="496" priority="346" stopIfTrue="1" operator="notEqual">
      <formula>ROUND(AE76,0)</formula>
    </cfRule>
  </conditionalFormatting>
  <conditionalFormatting sqref="T76">
    <cfRule type="cellIs" dxfId="495" priority="344" stopIfTrue="1" operator="notEqual">
      <formula>O76+R76+S76</formula>
    </cfRule>
  </conditionalFormatting>
  <conditionalFormatting sqref="BK76:BM76 BE76:BI76">
    <cfRule type="cellIs" dxfId="494" priority="343" stopIfTrue="1" operator="greaterThanOrEqual">
      <formula>0</formula>
    </cfRule>
  </conditionalFormatting>
  <conditionalFormatting sqref="X76:Z76">
    <cfRule type="cellIs" dxfId="493" priority="345" stopIfTrue="1" operator="notEqual">
      <formula>ROUND(X76,0)</formula>
    </cfRule>
  </conditionalFormatting>
  <conditionalFormatting sqref="O76">
    <cfRule type="cellIs" dxfId="492" priority="342" stopIfTrue="1" operator="notEqual">
      <formula>SUM(P76:Q76)</formula>
    </cfRule>
  </conditionalFormatting>
  <conditionalFormatting sqref="AI76:AI78">
    <cfRule type="cellIs" dxfId="491" priority="341" stopIfTrue="1" operator="notEqual">
      <formula>ROUND(AI76,0)</formula>
    </cfRule>
  </conditionalFormatting>
  <conditionalFormatting sqref="AP77:AP78 AE77:AH78 AJ77:AJ78">
    <cfRule type="cellIs" dxfId="490" priority="340" stopIfTrue="1" operator="notEqual">
      <formula>ROUND(AE77,0)</formula>
    </cfRule>
  </conditionalFormatting>
  <conditionalFormatting sqref="T77:T78">
    <cfRule type="cellIs" dxfId="489" priority="338" stopIfTrue="1" operator="notEqual">
      <formula>O77+R77+S77</formula>
    </cfRule>
  </conditionalFormatting>
  <conditionalFormatting sqref="BE77:BI78 BK77:BM78">
    <cfRule type="cellIs" dxfId="488" priority="337" stopIfTrue="1" operator="greaterThanOrEqual">
      <formula>0</formula>
    </cfRule>
  </conditionalFormatting>
  <conditionalFormatting sqref="X77:Z78">
    <cfRule type="cellIs" dxfId="487" priority="339" stopIfTrue="1" operator="notEqual">
      <formula>ROUND(X77,0)</formula>
    </cfRule>
  </conditionalFormatting>
  <conditionalFormatting sqref="O77:O78">
    <cfRule type="cellIs" dxfId="486" priority="336" stopIfTrue="1" operator="notEqual">
      <formula>SUM(P77:Q77)</formula>
    </cfRule>
  </conditionalFormatting>
  <conditionalFormatting sqref="CP76:CQ76">
    <cfRule type="cellIs" dxfId="485" priority="335" stopIfTrue="1" operator="greaterThanOrEqual">
      <formula>0</formula>
    </cfRule>
  </conditionalFormatting>
  <conditionalFormatting sqref="CP77:CQ78">
    <cfRule type="cellIs" dxfId="484" priority="334" stopIfTrue="1" operator="greaterThanOrEqual">
      <formula>0</formula>
    </cfRule>
  </conditionalFormatting>
  <conditionalFormatting sqref="AI75">
    <cfRule type="cellIs" dxfId="483" priority="333" stopIfTrue="1" operator="notEqual">
      <formula>ROUND(AI75,0)</formula>
    </cfRule>
  </conditionalFormatting>
  <conditionalFormatting sqref="AP75 AE75:AH75">
    <cfRule type="cellIs" dxfId="482" priority="332" stopIfTrue="1" operator="notEqual">
      <formula>ROUND(AE75,0)</formula>
    </cfRule>
  </conditionalFormatting>
  <conditionalFormatting sqref="T75">
    <cfRule type="cellIs" dxfId="481" priority="330" stopIfTrue="1" operator="notEqual">
      <formula>O75+R75+S75</formula>
    </cfRule>
  </conditionalFormatting>
  <conditionalFormatting sqref="BE75:BI75 BK75:BM75">
    <cfRule type="cellIs" dxfId="480" priority="329" stopIfTrue="1" operator="greaterThanOrEqual">
      <formula>0</formula>
    </cfRule>
  </conditionalFormatting>
  <conditionalFormatting sqref="X75:Z75">
    <cfRule type="cellIs" dxfId="479" priority="331" stopIfTrue="1" operator="notEqual">
      <formula>ROUND(X75,0)</formula>
    </cfRule>
  </conditionalFormatting>
  <conditionalFormatting sqref="O75">
    <cfRule type="cellIs" dxfId="478" priority="328" stopIfTrue="1" operator="notEqual">
      <formula>SUM(P75:Q75)</formula>
    </cfRule>
  </conditionalFormatting>
  <conditionalFormatting sqref="CP75:CQ75">
    <cfRule type="cellIs" dxfId="477" priority="327" stopIfTrue="1" operator="greaterThanOrEqual">
      <formula>0</formula>
    </cfRule>
  </conditionalFormatting>
  <conditionalFormatting sqref="CO79">
    <cfRule type="cellIs" dxfId="476" priority="326" stopIfTrue="1" operator="greaterThanOrEqual">
      <formula>0</formula>
    </cfRule>
  </conditionalFormatting>
  <conditionalFormatting sqref="CO76">
    <cfRule type="cellIs" dxfId="475" priority="325" stopIfTrue="1" operator="greaterThanOrEqual">
      <formula>0</formula>
    </cfRule>
  </conditionalFormatting>
  <conditionalFormatting sqref="CO77:CO78">
    <cfRule type="cellIs" dxfId="474" priority="324" stopIfTrue="1" operator="greaterThanOrEqual">
      <formula>0</formula>
    </cfRule>
  </conditionalFormatting>
  <conditionalFormatting sqref="CO75">
    <cfRule type="cellIs" dxfId="473" priority="323" stopIfTrue="1" operator="greaterThanOrEqual">
      <formula>0</formula>
    </cfRule>
  </conditionalFormatting>
  <conditionalFormatting sqref="AJ75">
    <cfRule type="cellIs" dxfId="472" priority="322" stopIfTrue="1" operator="notEqual">
      <formula>ROUND(AJ75,0)</formula>
    </cfRule>
  </conditionalFormatting>
  <conditionalFormatting sqref="G75:G79">
    <cfRule type="expression" dxfId="471" priority="321" stopIfTrue="1">
      <formula>G75&lt;&gt;#REF!</formula>
    </cfRule>
  </conditionalFormatting>
  <conditionalFormatting sqref="AE74:AH74 AJ74 AP74">
    <cfRule type="cellIs" dxfId="470" priority="320" stopIfTrue="1" operator="notEqual">
      <formula>ROUND(AE74,0)</formula>
    </cfRule>
  </conditionalFormatting>
  <conditionalFormatting sqref="T74">
    <cfRule type="cellIs" dxfId="469" priority="318" stopIfTrue="1" operator="notEqual">
      <formula>O74+R74+S74</formula>
    </cfRule>
  </conditionalFormatting>
  <conditionalFormatting sqref="BE74:BI74 BK74:BM74">
    <cfRule type="cellIs" dxfId="468" priority="317" stopIfTrue="1" operator="greaterThanOrEqual">
      <formula>0</formula>
    </cfRule>
  </conditionalFormatting>
  <conditionalFormatting sqref="X74:Z74">
    <cfRule type="cellIs" dxfId="467" priority="319" stopIfTrue="1" operator="notEqual">
      <formula>ROUND(X74,0)</formula>
    </cfRule>
  </conditionalFormatting>
  <conditionalFormatting sqref="O74">
    <cfRule type="cellIs" dxfId="466" priority="316" stopIfTrue="1" operator="notEqual">
      <formula>SUM(P74:Q74)</formula>
    </cfRule>
  </conditionalFormatting>
  <conditionalFormatting sqref="CP74:CQ74">
    <cfRule type="cellIs" dxfId="465" priority="314" stopIfTrue="1" operator="greaterThanOrEqual">
      <formula>0</formula>
    </cfRule>
  </conditionalFormatting>
  <conditionalFormatting sqref="AI73">
    <cfRule type="cellIs" dxfId="464" priority="313" stopIfTrue="1" operator="notEqual">
      <formula>ROUND(AI73,0)</formula>
    </cfRule>
  </conditionalFormatting>
  <conditionalFormatting sqref="AP73 AE73:AH73 AJ73">
    <cfRule type="cellIs" dxfId="463" priority="312" stopIfTrue="1" operator="notEqual">
      <formula>ROUND(AE73,0)</formula>
    </cfRule>
  </conditionalFormatting>
  <conditionalFormatting sqref="T73">
    <cfRule type="cellIs" dxfId="462" priority="310" stopIfTrue="1" operator="notEqual">
      <formula>O73+R73+S73</formula>
    </cfRule>
  </conditionalFormatting>
  <conditionalFormatting sqref="BE73:BI73 BK73:BM73">
    <cfRule type="cellIs" dxfId="461" priority="309" stopIfTrue="1" operator="greaterThanOrEqual">
      <formula>0</formula>
    </cfRule>
  </conditionalFormatting>
  <conditionalFormatting sqref="X73:Z73">
    <cfRule type="cellIs" dxfId="460" priority="311" stopIfTrue="1" operator="notEqual">
      <formula>ROUND(X73,0)</formula>
    </cfRule>
  </conditionalFormatting>
  <conditionalFormatting sqref="O73">
    <cfRule type="cellIs" dxfId="459" priority="308" stopIfTrue="1" operator="notEqual">
      <formula>SUM(P73:Q73)</formula>
    </cfRule>
  </conditionalFormatting>
  <conditionalFormatting sqref="CP73:CQ73">
    <cfRule type="cellIs" dxfId="458" priority="307" stopIfTrue="1" operator="greaterThanOrEqual">
      <formula>0</formula>
    </cfRule>
  </conditionalFormatting>
  <conditionalFormatting sqref="CO74">
    <cfRule type="cellIs" dxfId="457" priority="306" stopIfTrue="1" operator="greaterThanOrEqual">
      <formula>0</formula>
    </cfRule>
  </conditionalFormatting>
  <conditionalFormatting sqref="CO73">
    <cfRule type="cellIs" dxfId="456" priority="305" stopIfTrue="1" operator="greaterThanOrEqual">
      <formula>0</formula>
    </cfRule>
  </conditionalFormatting>
  <conditionalFormatting sqref="G73:G74">
    <cfRule type="expression" dxfId="455" priority="304" stopIfTrue="1">
      <formula>G73&lt;&gt;#REF!</formula>
    </cfRule>
  </conditionalFormatting>
  <conditionalFormatting sqref="AA73:AC85 AA91:AC92">
    <cfRule type="cellIs" dxfId="454" priority="303" stopIfTrue="1" operator="notEqual">
      <formula>ROUND(AA73,0)</formula>
    </cfRule>
  </conditionalFormatting>
  <conditionalFormatting sqref="AD73:AD85 AD91:AD92">
    <cfRule type="cellIs" dxfId="453" priority="302" stopIfTrue="1" operator="notEqual">
      <formula>ROUND(AD73,0)</formula>
    </cfRule>
  </conditionalFormatting>
  <conditionalFormatting sqref="F71:F85 F91:F92">
    <cfRule type="containsText" dxfId="452" priority="301" operator="containsText" text="да">
      <formula>NOT(ISERROR(SEARCH("да",F71)))</formula>
    </cfRule>
  </conditionalFormatting>
  <conditionalFormatting sqref="X51:Z51">
    <cfRule type="cellIs" dxfId="451" priority="279" stopIfTrue="1" operator="notEqual">
      <formula>ROUND(X51,0)</formula>
    </cfRule>
  </conditionalFormatting>
  <conditionalFormatting sqref="X52:Z52">
    <cfRule type="cellIs" dxfId="450" priority="273" stopIfTrue="1" operator="notEqual">
      <formula>ROUND(X52,0)</formula>
    </cfRule>
  </conditionalFormatting>
  <conditionalFormatting sqref="U51:V70">
    <cfRule type="cellIs" dxfId="449" priority="300" stopIfTrue="1" operator="notEqual">
      <formula>ROUND(U51,0)</formula>
    </cfRule>
  </conditionalFormatting>
  <conditionalFormatting sqref="AE54:AH54 AJ54 AP54">
    <cfRule type="cellIs" dxfId="448" priority="299" stopIfTrue="1" operator="notEqual">
      <formula>ROUND(AE54,0)</formula>
    </cfRule>
  </conditionalFormatting>
  <conditionalFormatting sqref="T54">
    <cfRule type="cellIs" dxfId="447" priority="297" stopIfTrue="1" operator="notEqual">
      <formula>O54+R54+S54</formula>
    </cfRule>
  </conditionalFormatting>
  <conditionalFormatting sqref="BE54:BI54 BK54:BM54">
    <cfRule type="cellIs" dxfId="446" priority="296" stopIfTrue="1" operator="greaterThanOrEqual">
      <formula>0</formula>
    </cfRule>
  </conditionalFormatting>
  <conditionalFormatting sqref="X54:Z54">
    <cfRule type="cellIs" dxfId="445" priority="298" stopIfTrue="1" operator="notEqual">
      <formula>ROUND(X54,0)</formula>
    </cfRule>
  </conditionalFormatting>
  <conditionalFormatting sqref="O54">
    <cfRule type="cellIs" dxfId="444" priority="295" stopIfTrue="1" operator="notEqual">
      <formula>SUM(P54:Q54)</formula>
    </cfRule>
  </conditionalFormatting>
  <conditionalFormatting sqref="AI54">
    <cfRule type="cellIs" dxfId="443" priority="294" stopIfTrue="1" operator="notEqual">
      <formula>ROUND(AI54,0)</formula>
    </cfRule>
  </conditionalFormatting>
  <conditionalFormatting sqref="CP54:CQ54">
    <cfRule type="cellIs" dxfId="442" priority="293" stopIfTrue="1" operator="greaterThanOrEqual">
      <formula>0</formula>
    </cfRule>
  </conditionalFormatting>
  <conditionalFormatting sqref="AI53">
    <cfRule type="cellIs" dxfId="441" priority="292" stopIfTrue="1" operator="notEqual">
      <formula>ROUND(AI53,0)</formula>
    </cfRule>
  </conditionalFormatting>
  <conditionalFormatting sqref="AJ53 AE53:AH53 AP53">
    <cfRule type="cellIs" dxfId="440" priority="291" stopIfTrue="1" operator="notEqual">
      <formula>ROUND(AE53,0)</formula>
    </cfRule>
  </conditionalFormatting>
  <conditionalFormatting sqref="T53">
    <cfRule type="cellIs" dxfId="439" priority="289" stopIfTrue="1" operator="notEqual">
      <formula>O53+R53+S53</formula>
    </cfRule>
  </conditionalFormatting>
  <conditionalFormatting sqref="BK53:BM53 BE53:BI53">
    <cfRule type="cellIs" dxfId="438" priority="288" stopIfTrue="1" operator="greaterThanOrEqual">
      <formula>0</formula>
    </cfRule>
  </conditionalFormatting>
  <conditionalFormatting sqref="X53:Z53">
    <cfRule type="cellIs" dxfId="437" priority="290" stopIfTrue="1" operator="notEqual">
      <formula>ROUND(X53,0)</formula>
    </cfRule>
  </conditionalFormatting>
  <conditionalFormatting sqref="O53">
    <cfRule type="cellIs" dxfId="436" priority="287" stopIfTrue="1" operator="notEqual">
      <formula>SUM(P53:Q53)</formula>
    </cfRule>
  </conditionalFormatting>
  <conditionalFormatting sqref="CP53:CQ53">
    <cfRule type="cellIs" dxfId="435" priority="286" stopIfTrue="1" operator="greaterThanOrEqual">
      <formula>0</formula>
    </cfRule>
  </conditionalFormatting>
  <conditionalFormatting sqref="CO54">
    <cfRule type="cellIs" dxfId="434" priority="285" stopIfTrue="1" operator="greaterThanOrEqual">
      <formula>0</formula>
    </cfRule>
  </conditionalFormatting>
  <conditionalFormatting sqref="CO53">
    <cfRule type="cellIs" dxfId="433" priority="284" stopIfTrue="1" operator="greaterThanOrEqual">
      <formula>0</formula>
    </cfRule>
  </conditionalFormatting>
  <conditionalFormatting sqref="G53:G54">
    <cfRule type="expression" dxfId="432" priority="283" stopIfTrue="1">
      <formula>G53&lt;&gt;#REF!</formula>
    </cfRule>
  </conditionalFormatting>
  <conditionalFormatting sqref="AD51:AD52">
    <cfRule type="cellIs" dxfId="431" priority="263" stopIfTrue="1" operator="notEqual">
      <formula>ROUND(AD51,0)</formula>
    </cfRule>
  </conditionalFormatting>
  <conditionalFormatting sqref="AA53:AC54">
    <cfRule type="cellIs" dxfId="430" priority="282" stopIfTrue="1" operator="notEqual">
      <formula>ROUND(AA53,0)</formula>
    </cfRule>
  </conditionalFormatting>
  <conditionalFormatting sqref="AD53:AD54">
    <cfRule type="cellIs" dxfId="429" priority="281" stopIfTrue="1" operator="notEqual">
      <formula>ROUND(AD53,0)</formula>
    </cfRule>
  </conditionalFormatting>
  <conditionalFormatting sqref="AP51 AE51:AH51 AJ51">
    <cfRule type="cellIs" dxfId="428" priority="280" stopIfTrue="1" operator="notEqual">
      <formula>ROUND(AE51,0)</formula>
    </cfRule>
  </conditionalFormatting>
  <conditionalFormatting sqref="T51">
    <cfRule type="cellIs" dxfId="427" priority="278" stopIfTrue="1" operator="notEqual">
      <formula>O51+R51+S51</formula>
    </cfRule>
  </conditionalFormatting>
  <conditionalFormatting sqref="BK51:BM51 BE51:BI51">
    <cfRule type="cellIs" dxfId="426" priority="277" stopIfTrue="1" operator="greaterThanOrEqual">
      <formula>0</formula>
    </cfRule>
  </conditionalFormatting>
  <conditionalFormatting sqref="O51">
    <cfRule type="cellIs" dxfId="425" priority="276" stopIfTrue="1" operator="notEqual">
      <formula>SUM(P51:Q51)</formula>
    </cfRule>
  </conditionalFormatting>
  <conditionalFormatting sqref="AI51:AI52">
    <cfRule type="cellIs" dxfId="424" priority="275" stopIfTrue="1" operator="notEqual">
      <formula>ROUND(AI51,0)</formula>
    </cfRule>
  </conditionalFormatting>
  <conditionalFormatting sqref="AP52 AE52:AH52 AJ52">
    <cfRule type="cellIs" dxfId="423" priority="274" stopIfTrue="1" operator="notEqual">
      <formula>ROUND(AE52,0)</formula>
    </cfRule>
  </conditionalFormatting>
  <conditionalFormatting sqref="T52">
    <cfRule type="cellIs" dxfId="422" priority="272" stopIfTrue="1" operator="notEqual">
      <formula>O52+R52+S52</formula>
    </cfRule>
  </conditionalFormatting>
  <conditionalFormatting sqref="BE52:BI52 BK52:BM52">
    <cfRule type="cellIs" dxfId="421" priority="271" stopIfTrue="1" operator="greaterThanOrEqual">
      <formula>0</formula>
    </cfRule>
  </conditionalFormatting>
  <conditionalFormatting sqref="O52">
    <cfRule type="cellIs" dxfId="420" priority="270" stopIfTrue="1" operator="notEqual">
      <formula>SUM(P52:Q52)</formula>
    </cfRule>
  </conditionalFormatting>
  <conditionalFormatting sqref="CP51:CQ51">
    <cfRule type="cellIs" dxfId="419" priority="269" stopIfTrue="1" operator="greaterThanOrEqual">
      <formula>0</formula>
    </cfRule>
  </conditionalFormatting>
  <conditionalFormatting sqref="CP52:CQ52">
    <cfRule type="cellIs" dxfId="418" priority="268" stopIfTrue="1" operator="greaterThanOrEqual">
      <formula>0</formula>
    </cfRule>
  </conditionalFormatting>
  <conditionalFormatting sqref="CO51">
    <cfRule type="cellIs" dxfId="417" priority="267" stopIfTrue="1" operator="greaterThanOrEqual">
      <formula>0</formula>
    </cfRule>
  </conditionalFormatting>
  <conditionalFormatting sqref="CO52">
    <cfRule type="cellIs" dxfId="416" priority="266" stopIfTrue="1" operator="greaterThanOrEqual">
      <formula>0</formula>
    </cfRule>
  </conditionalFormatting>
  <conditionalFormatting sqref="G51:G52">
    <cfRule type="expression" dxfId="415" priority="265" stopIfTrue="1">
      <formula>G51&lt;&gt;#REF!</formula>
    </cfRule>
  </conditionalFormatting>
  <conditionalFormatting sqref="AA51:AC52">
    <cfRule type="cellIs" dxfId="414" priority="264" stopIfTrue="1" operator="notEqual">
      <formula>ROUND(AA51,0)</formula>
    </cfRule>
  </conditionalFormatting>
  <conditionalFormatting sqref="AE61:AH61 AJ61 AP61">
    <cfRule type="cellIs" dxfId="413" priority="193" stopIfTrue="1" operator="notEqual">
      <formula>ROUND(AE61,0)</formula>
    </cfRule>
  </conditionalFormatting>
  <conditionalFormatting sqref="AI61">
    <cfRule type="cellIs" dxfId="412" priority="188" stopIfTrue="1" operator="notEqual">
      <formula>ROUND(AI61,0)</formula>
    </cfRule>
  </conditionalFormatting>
  <conditionalFormatting sqref="AP58 AE58:AH58 AJ58">
    <cfRule type="cellIs" dxfId="411" priority="186" stopIfTrue="1" operator="notEqual">
      <formula>ROUND(AE58,0)</formula>
    </cfRule>
  </conditionalFormatting>
  <conditionalFormatting sqref="AI70">
    <cfRule type="cellIs" dxfId="410" priority="262" stopIfTrue="1" operator="notEqual">
      <formula>ROUND(AI70,0)</formula>
    </cfRule>
  </conditionalFormatting>
  <conditionalFormatting sqref="AJ70 AE70:AH70 AP70">
    <cfRule type="cellIs" dxfId="409" priority="261" stopIfTrue="1" operator="notEqual">
      <formula>ROUND(AE70,0)</formula>
    </cfRule>
  </conditionalFormatting>
  <conditionalFormatting sqref="T70">
    <cfRule type="cellIs" dxfId="408" priority="259" stopIfTrue="1" operator="notEqual">
      <formula>O70+R70+S70</formula>
    </cfRule>
  </conditionalFormatting>
  <conditionalFormatting sqref="BK70:BM70 BE70:BI70">
    <cfRule type="cellIs" dxfId="407" priority="258" stopIfTrue="1" operator="greaterThanOrEqual">
      <formula>0</formula>
    </cfRule>
  </conditionalFormatting>
  <conditionalFormatting sqref="X70:Z70">
    <cfRule type="cellIs" dxfId="406" priority="260" stopIfTrue="1" operator="notEqual">
      <formula>ROUND(X70,0)</formula>
    </cfRule>
  </conditionalFormatting>
  <conditionalFormatting sqref="O70">
    <cfRule type="cellIs" dxfId="405" priority="257" stopIfTrue="1" operator="notEqual">
      <formula>SUM(P70:Q70)</formula>
    </cfRule>
  </conditionalFormatting>
  <conditionalFormatting sqref="CP70:CQ70">
    <cfRule type="cellIs" dxfId="404" priority="256" stopIfTrue="1" operator="greaterThanOrEqual">
      <formula>0</formula>
    </cfRule>
  </conditionalFormatting>
  <conditionalFormatting sqref="CO70">
    <cfRule type="cellIs" dxfId="403" priority="255" stopIfTrue="1" operator="greaterThanOrEqual">
      <formula>0</formula>
    </cfRule>
  </conditionalFormatting>
  <conditionalFormatting sqref="G70">
    <cfRule type="expression" dxfId="402" priority="254" stopIfTrue="1">
      <formula>G70&lt;&gt;#REF!</formula>
    </cfRule>
  </conditionalFormatting>
  <conditionalFormatting sqref="AA70:AC70">
    <cfRule type="cellIs" dxfId="401" priority="253" stopIfTrue="1" operator="notEqual">
      <formula>ROUND(AA70,0)</formula>
    </cfRule>
  </conditionalFormatting>
  <conditionalFormatting sqref="AD70">
    <cfRule type="cellIs" dxfId="400" priority="252" stopIfTrue="1" operator="notEqual">
      <formula>ROUND(AD70,0)</formula>
    </cfRule>
  </conditionalFormatting>
  <conditionalFormatting sqref="AP68 AE68:AH68 AJ68">
    <cfRule type="cellIs" dxfId="399" priority="251" stopIfTrue="1" operator="notEqual">
      <formula>ROUND(AE68,0)</formula>
    </cfRule>
  </conditionalFormatting>
  <conditionalFormatting sqref="T68">
    <cfRule type="cellIs" dxfId="398" priority="249" stopIfTrue="1" operator="notEqual">
      <formula>O68+R68+S68</formula>
    </cfRule>
  </conditionalFormatting>
  <conditionalFormatting sqref="BK68:BM68 BE68:BI68">
    <cfRule type="cellIs" dxfId="397" priority="248" stopIfTrue="1" operator="greaterThanOrEqual">
      <formula>0</formula>
    </cfRule>
  </conditionalFormatting>
  <conditionalFormatting sqref="X68:Z68">
    <cfRule type="cellIs" dxfId="396" priority="250" stopIfTrue="1" operator="notEqual">
      <formula>ROUND(X68,0)</formula>
    </cfRule>
  </conditionalFormatting>
  <conditionalFormatting sqref="O68">
    <cfRule type="cellIs" dxfId="395" priority="247" stopIfTrue="1" operator="notEqual">
      <formula>SUM(P68:Q68)</formula>
    </cfRule>
  </conditionalFormatting>
  <conditionalFormatting sqref="AI68:AI69">
    <cfRule type="cellIs" dxfId="394" priority="246" stopIfTrue="1" operator="notEqual">
      <formula>ROUND(AI68,0)</formula>
    </cfRule>
  </conditionalFormatting>
  <conditionalFormatting sqref="AP69 AE69:AH69 AJ69">
    <cfRule type="cellIs" dxfId="393" priority="245" stopIfTrue="1" operator="notEqual">
      <formula>ROUND(AE69,0)</formula>
    </cfRule>
  </conditionalFormatting>
  <conditionalFormatting sqref="T69">
    <cfRule type="cellIs" dxfId="392" priority="243" stopIfTrue="1" operator="notEqual">
      <formula>O69+R69+S69</formula>
    </cfRule>
  </conditionalFormatting>
  <conditionalFormatting sqref="BE69:BI69 BK69:BM69">
    <cfRule type="cellIs" dxfId="391" priority="242" stopIfTrue="1" operator="greaterThanOrEqual">
      <formula>0</formula>
    </cfRule>
  </conditionalFormatting>
  <conditionalFormatting sqref="X69:Z69">
    <cfRule type="cellIs" dxfId="390" priority="244" stopIfTrue="1" operator="notEqual">
      <formula>ROUND(X69,0)</formula>
    </cfRule>
  </conditionalFormatting>
  <conditionalFormatting sqref="O69">
    <cfRule type="cellIs" dxfId="389" priority="241" stopIfTrue="1" operator="notEqual">
      <formula>SUM(P69:Q69)</formula>
    </cfRule>
  </conditionalFormatting>
  <conditionalFormatting sqref="CP68:CQ68">
    <cfRule type="cellIs" dxfId="388" priority="240" stopIfTrue="1" operator="greaterThanOrEqual">
      <formula>0</formula>
    </cfRule>
  </conditionalFormatting>
  <conditionalFormatting sqref="CP69:CQ69">
    <cfRule type="cellIs" dxfId="387" priority="239" stopIfTrue="1" operator="greaterThanOrEqual">
      <formula>0</formula>
    </cfRule>
  </conditionalFormatting>
  <conditionalFormatting sqref="AE56:AH56 AJ56 AP56">
    <cfRule type="cellIs" dxfId="386" priority="160" stopIfTrue="1" operator="notEqual">
      <formula>ROUND(AE56,0)</formula>
    </cfRule>
  </conditionalFormatting>
  <conditionalFormatting sqref="AI67">
    <cfRule type="cellIs" dxfId="385" priority="238" stopIfTrue="1" operator="notEqual">
      <formula>ROUND(AI67,0)</formula>
    </cfRule>
  </conditionalFormatting>
  <conditionalFormatting sqref="AP67 AE67:AH67">
    <cfRule type="cellIs" dxfId="384" priority="237" stopIfTrue="1" operator="notEqual">
      <formula>ROUND(AE67,0)</formula>
    </cfRule>
  </conditionalFormatting>
  <conditionalFormatting sqref="T67">
    <cfRule type="cellIs" dxfId="383" priority="235" stopIfTrue="1" operator="notEqual">
      <formula>O67+R67+S67</formula>
    </cfRule>
  </conditionalFormatting>
  <conditionalFormatting sqref="BE67:BI67 BK67:BM67">
    <cfRule type="cellIs" dxfId="382" priority="234" stopIfTrue="1" operator="greaterThanOrEqual">
      <formula>0</formula>
    </cfRule>
  </conditionalFormatting>
  <conditionalFormatting sqref="X67:Z67">
    <cfRule type="cellIs" dxfId="381" priority="236" stopIfTrue="1" operator="notEqual">
      <formula>ROUND(X67,0)</formula>
    </cfRule>
  </conditionalFormatting>
  <conditionalFormatting sqref="O67">
    <cfRule type="cellIs" dxfId="380" priority="233" stopIfTrue="1" operator="notEqual">
      <formula>SUM(P67:Q67)</formula>
    </cfRule>
  </conditionalFormatting>
  <conditionalFormatting sqref="CP67:CQ67">
    <cfRule type="cellIs" dxfId="379" priority="232" stopIfTrue="1" operator="greaterThanOrEqual">
      <formula>0</formula>
    </cfRule>
  </conditionalFormatting>
  <conditionalFormatting sqref="CO68">
    <cfRule type="cellIs" dxfId="378" priority="231" stopIfTrue="1" operator="greaterThanOrEqual">
      <formula>0</formula>
    </cfRule>
  </conditionalFormatting>
  <conditionalFormatting sqref="CO69">
    <cfRule type="cellIs" dxfId="377" priority="230" stopIfTrue="1" operator="greaterThanOrEqual">
      <formula>0</formula>
    </cfRule>
  </conditionalFormatting>
  <conditionalFormatting sqref="CO67">
    <cfRule type="cellIs" dxfId="376" priority="229" stopIfTrue="1" operator="greaterThanOrEqual">
      <formula>0</formula>
    </cfRule>
  </conditionalFormatting>
  <conditionalFormatting sqref="AJ67">
    <cfRule type="cellIs" dxfId="375" priority="228" stopIfTrue="1" operator="notEqual">
      <formula>ROUND(AJ67,0)</formula>
    </cfRule>
  </conditionalFormatting>
  <conditionalFormatting sqref="G67:G69">
    <cfRule type="expression" dxfId="374" priority="227" stopIfTrue="1">
      <formula>G67&lt;&gt;#REF!</formula>
    </cfRule>
  </conditionalFormatting>
  <conditionalFormatting sqref="AE66:AH66 AJ66 AP66">
    <cfRule type="cellIs" dxfId="373" priority="226" stopIfTrue="1" operator="notEqual">
      <formula>ROUND(AE66,0)</formula>
    </cfRule>
  </conditionalFormatting>
  <conditionalFormatting sqref="T66">
    <cfRule type="cellIs" dxfId="372" priority="224" stopIfTrue="1" operator="notEqual">
      <formula>O66+R66+S66</formula>
    </cfRule>
  </conditionalFormatting>
  <conditionalFormatting sqref="BE66:BI66 BK66:BM66">
    <cfRule type="cellIs" dxfId="371" priority="223" stopIfTrue="1" operator="greaterThanOrEqual">
      <formula>0</formula>
    </cfRule>
  </conditionalFormatting>
  <conditionalFormatting sqref="X66:Z66">
    <cfRule type="cellIs" dxfId="370" priority="225" stopIfTrue="1" operator="notEqual">
      <formula>ROUND(X66,0)</formula>
    </cfRule>
  </conditionalFormatting>
  <conditionalFormatting sqref="O66">
    <cfRule type="cellIs" dxfId="369" priority="222" stopIfTrue="1" operator="notEqual">
      <formula>SUM(P66:Q66)</formula>
    </cfRule>
  </conditionalFormatting>
  <conditionalFormatting sqref="AI66">
    <cfRule type="cellIs" dxfId="368" priority="221" stopIfTrue="1" operator="notEqual">
      <formula>ROUND(AI66,0)</formula>
    </cfRule>
  </conditionalFormatting>
  <conditionalFormatting sqref="CP66:CQ66">
    <cfRule type="cellIs" dxfId="367" priority="220" stopIfTrue="1" operator="greaterThanOrEqual">
      <formula>0</formula>
    </cfRule>
  </conditionalFormatting>
  <conditionalFormatting sqref="AP63 AE63:AH63 AJ63">
    <cfRule type="cellIs" dxfId="366" priority="219" stopIfTrue="1" operator="notEqual">
      <formula>ROUND(AE63,0)</formula>
    </cfRule>
  </conditionalFormatting>
  <conditionalFormatting sqref="T63">
    <cfRule type="cellIs" dxfId="365" priority="217" stopIfTrue="1" operator="notEqual">
      <formula>O63+R63+S63</formula>
    </cfRule>
  </conditionalFormatting>
  <conditionalFormatting sqref="BK63:BM63 BE63:BI63">
    <cfRule type="cellIs" dxfId="364" priority="216" stopIfTrue="1" operator="greaterThanOrEqual">
      <formula>0</formula>
    </cfRule>
  </conditionalFormatting>
  <conditionalFormatting sqref="X63:Z63">
    <cfRule type="cellIs" dxfId="363" priority="218" stopIfTrue="1" operator="notEqual">
      <formula>ROUND(X63,0)</formula>
    </cfRule>
  </conditionalFormatting>
  <conditionalFormatting sqref="O63">
    <cfRule type="cellIs" dxfId="362" priority="215" stopIfTrue="1" operator="notEqual">
      <formula>SUM(P63:Q63)</formula>
    </cfRule>
  </conditionalFormatting>
  <conditionalFormatting sqref="AI63:AI65">
    <cfRule type="cellIs" dxfId="361" priority="214" stopIfTrue="1" operator="notEqual">
      <formula>ROUND(AI63,0)</formula>
    </cfRule>
  </conditionalFormatting>
  <conditionalFormatting sqref="AP64:AP65 AE64:AH65 AJ64:AJ65">
    <cfRule type="cellIs" dxfId="360" priority="213" stopIfTrue="1" operator="notEqual">
      <formula>ROUND(AE64,0)</formula>
    </cfRule>
  </conditionalFormatting>
  <conditionalFormatting sqref="T64:T65">
    <cfRule type="cellIs" dxfId="359" priority="211" stopIfTrue="1" operator="notEqual">
      <formula>O64+R64+S64</formula>
    </cfRule>
  </conditionalFormatting>
  <conditionalFormatting sqref="BE64:BI65 BK64:BM65">
    <cfRule type="cellIs" dxfId="358" priority="210" stopIfTrue="1" operator="greaterThanOrEqual">
      <formula>0</formula>
    </cfRule>
  </conditionalFormatting>
  <conditionalFormatting sqref="X64:Z65">
    <cfRule type="cellIs" dxfId="357" priority="212" stopIfTrue="1" operator="notEqual">
      <formula>ROUND(X64,0)</formula>
    </cfRule>
  </conditionalFormatting>
  <conditionalFormatting sqref="O64:O65">
    <cfRule type="cellIs" dxfId="356" priority="209" stopIfTrue="1" operator="notEqual">
      <formula>SUM(P64:Q64)</formula>
    </cfRule>
  </conditionalFormatting>
  <conditionalFormatting sqref="CP63:CQ63">
    <cfRule type="cellIs" dxfId="355" priority="208" stopIfTrue="1" operator="greaterThanOrEqual">
      <formula>0</formula>
    </cfRule>
  </conditionalFormatting>
  <conditionalFormatting sqref="CP64:CQ65">
    <cfRule type="cellIs" dxfId="354" priority="207" stopIfTrue="1" operator="greaterThanOrEqual">
      <formula>0</formula>
    </cfRule>
  </conditionalFormatting>
  <conditionalFormatting sqref="AI62">
    <cfRule type="cellIs" dxfId="353" priority="206" stopIfTrue="1" operator="notEqual">
      <formula>ROUND(AI62,0)</formula>
    </cfRule>
  </conditionalFormatting>
  <conditionalFormatting sqref="AP62 AE62:AH62">
    <cfRule type="cellIs" dxfId="352" priority="205" stopIfTrue="1" operator="notEqual">
      <formula>ROUND(AE62,0)</formula>
    </cfRule>
  </conditionalFormatting>
  <conditionalFormatting sqref="T62">
    <cfRule type="cellIs" dxfId="351" priority="203" stopIfTrue="1" operator="notEqual">
      <formula>O62+R62+S62</formula>
    </cfRule>
  </conditionalFormatting>
  <conditionalFormatting sqref="BE62:BI62 BK62:BM62">
    <cfRule type="cellIs" dxfId="350" priority="202" stopIfTrue="1" operator="greaterThanOrEqual">
      <formula>0</formula>
    </cfRule>
  </conditionalFormatting>
  <conditionalFormatting sqref="X62:Z62">
    <cfRule type="cellIs" dxfId="349" priority="204" stopIfTrue="1" operator="notEqual">
      <formula>ROUND(X62,0)</formula>
    </cfRule>
  </conditionalFormatting>
  <conditionalFormatting sqref="O62">
    <cfRule type="cellIs" dxfId="348" priority="201" stopIfTrue="1" operator="notEqual">
      <formula>SUM(P62:Q62)</formula>
    </cfRule>
  </conditionalFormatting>
  <conditionalFormatting sqref="CP62:CQ62">
    <cfRule type="cellIs" dxfId="347" priority="200" stopIfTrue="1" operator="greaterThanOrEqual">
      <formula>0</formula>
    </cfRule>
  </conditionalFormatting>
  <conditionalFormatting sqref="CO66">
    <cfRule type="cellIs" dxfId="346" priority="199" stopIfTrue="1" operator="greaterThanOrEqual">
      <formula>0</formula>
    </cfRule>
  </conditionalFormatting>
  <conditionalFormatting sqref="CO63">
    <cfRule type="cellIs" dxfId="345" priority="198" stopIfTrue="1" operator="greaterThanOrEqual">
      <formula>0</formula>
    </cfRule>
  </conditionalFormatting>
  <conditionalFormatting sqref="CO64:CO65">
    <cfRule type="cellIs" dxfId="344" priority="197" stopIfTrue="1" operator="greaterThanOrEqual">
      <formula>0</formula>
    </cfRule>
  </conditionalFormatting>
  <conditionalFormatting sqref="CO62">
    <cfRule type="cellIs" dxfId="343" priority="196" stopIfTrue="1" operator="greaterThanOrEqual">
      <formula>0</formula>
    </cfRule>
  </conditionalFormatting>
  <conditionalFormatting sqref="AJ62">
    <cfRule type="cellIs" dxfId="342" priority="195" stopIfTrue="1" operator="notEqual">
      <formula>ROUND(AJ62,0)</formula>
    </cfRule>
  </conditionalFormatting>
  <conditionalFormatting sqref="G62:G66">
    <cfRule type="expression" dxfId="341" priority="194" stopIfTrue="1">
      <formula>G62&lt;&gt;#REF!</formula>
    </cfRule>
  </conditionalFormatting>
  <conditionalFormatting sqref="T61">
    <cfRule type="cellIs" dxfId="340" priority="191" stopIfTrue="1" operator="notEqual">
      <formula>O61+R61+S61</formula>
    </cfRule>
  </conditionalFormatting>
  <conditionalFormatting sqref="BE61:BI61 BK61:BM61">
    <cfRule type="cellIs" dxfId="339" priority="190" stopIfTrue="1" operator="greaterThanOrEqual">
      <formula>0</formula>
    </cfRule>
  </conditionalFormatting>
  <conditionalFormatting sqref="X61:Z61">
    <cfRule type="cellIs" dxfId="338" priority="192" stopIfTrue="1" operator="notEqual">
      <formula>ROUND(X61,0)</formula>
    </cfRule>
  </conditionalFormatting>
  <conditionalFormatting sqref="O61">
    <cfRule type="cellIs" dxfId="337" priority="189" stopIfTrue="1" operator="notEqual">
      <formula>SUM(P61:Q61)</formula>
    </cfRule>
  </conditionalFormatting>
  <conditionalFormatting sqref="CP61:CQ61">
    <cfRule type="cellIs" dxfId="336" priority="187" stopIfTrue="1" operator="greaterThanOrEqual">
      <formula>0</formula>
    </cfRule>
  </conditionalFormatting>
  <conditionalFormatting sqref="T58">
    <cfRule type="cellIs" dxfId="335" priority="184" stopIfTrue="1" operator="notEqual">
      <formula>O58+R58+S58</formula>
    </cfRule>
  </conditionalFormatting>
  <conditionalFormatting sqref="BK58:BM58 BE58:BI58">
    <cfRule type="cellIs" dxfId="334" priority="183" stopIfTrue="1" operator="greaterThanOrEqual">
      <formula>0</formula>
    </cfRule>
  </conditionalFormatting>
  <conditionalFormatting sqref="X58:Z58">
    <cfRule type="cellIs" dxfId="333" priority="185" stopIfTrue="1" operator="notEqual">
      <formula>ROUND(X58,0)</formula>
    </cfRule>
  </conditionalFormatting>
  <conditionalFormatting sqref="O58">
    <cfRule type="cellIs" dxfId="332" priority="182" stopIfTrue="1" operator="notEqual">
      <formula>SUM(P58:Q58)</formula>
    </cfRule>
  </conditionalFormatting>
  <conditionalFormatting sqref="AI58:AI60">
    <cfRule type="cellIs" dxfId="331" priority="181" stopIfTrue="1" operator="notEqual">
      <formula>ROUND(AI58,0)</formula>
    </cfRule>
  </conditionalFormatting>
  <conditionalFormatting sqref="AP59:AP60 AE59:AH60 AJ59:AJ60">
    <cfRule type="cellIs" dxfId="330" priority="180" stopIfTrue="1" operator="notEqual">
      <formula>ROUND(AE59,0)</formula>
    </cfRule>
  </conditionalFormatting>
  <conditionalFormatting sqref="T59:T60">
    <cfRule type="cellIs" dxfId="329" priority="178" stopIfTrue="1" operator="notEqual">
      <formula>O59+R59+S59</formula>
    </cfRule>
  </conditionalFormatting>
  <conditionalFormatting sqref="BE59:BI60 BK59:BM60">
    <cfRule type="cellIs" dxfId="328" priority="177" stopIfTrue="1" operator="greaterThanOrEqual">
      <formula>0</formula>
    </cfRule>
  </conditionalFormatting>
  <conditionalFormatting sqref="X59:Z60">
    <cfRule type="cellIs" dxfId="327" priority="179" stopIfTrue="1" operator="notEqual">
      <formula>ROUND(X59,0)</formula>
    </cfRule>
  </conditionalFormatting>
  <conditionalFormatting sqref="O59:O60">
    <cfRule type="cellIs" dxfId="326" priority="176" stopIfTrue="1" operator="notEqual">
      <formula>SUM(P59:Q59)</formula>
    </cfRule>
  </conditionalFormatting>
  <conditionalFormatting sqref="CP58:CQ58">
    <cfRule type="cellIs" dxfId="325" priority="175" stopIfTrue="1" operator="greaterThanOrEqual">
      <formula>0</formula>
    </cfRule>
  </conditionalFormatting>
  <conditionalFormatting sqref="CP59:CQ60">
    <cfRule type="cellIs" dxfId="324" priority="174" stopIfTrue="1" operator="greaterThanOrEqual">
      <formula>0</formula>
    </cfRule>
  </conditionalFormatting>
  <conditionalFormatting sqref="AI57">
    <cfRule type="cellIs" dxfId="323" priority="173" stopIfTrue="1" operator="notEqual">
      <formula>ROUND(AI57,0)</formula>
    </cfRule>
  </conditionalFormatting>
  <conditionalFormatting sqref="AP57 AE57:AH57">
    <cfRule type="cellIs" dxfId="322" priority="172" stopIfTrue="1" operator="notEqual">
      <formula>ROUND(AE57,0)</formula>
    </cfRule>
  </conditionalFormatting>
  <conditionalFormatting sqref="T57">
    <cfRule type="cellIs" dxfId="321" priority="170" stopIfTrue="1" operator="notEqual">
      <formula>O57+R57+S57</formula>
    </cfRule>
  </conditionalFormatting>
  <conditionalFormatting sqref="BE57:BI57 BK57:BM57">
    <cfRule type="cellIs" dxfId="320" priority="169" stopIfTrue="1" operator="greaterThanOrEqual">
      <formula>0</formula>
    </cfRule>
  </conditionalFormatting>
  <conditionalFormatting sqref="X57:Z57">
    <cfRule type="cellIs" dxfId="319" priority="171" stopIfTrue="1" operator="notEqual">
      <formula>ROUND(X57,0)</formula>
    </cfRule>
  </conditionalFormatting>
  <conditionalFormatting sqref="O57">
    <cfRule type="cellIs" dxfId="318" priority="168" stopIfTrue="1" operator="notEqual">
      <formula>SUM(P57:Q57)</formula>
    </cfRule>
  </conditionalFormatting>
  <conditionalFormatting sqref="CP57:CQ57">
    <cfRule type="cellIs" dxfId="317" priority="167" stopIfTrue="1" operator="greaterThanOrEqual">
      <formula>0</formula>
    </cfRule>
  </conditionalFormatting>
  <conditionalFormatting sqref="CO61">
    <cfRule type="cellIs" dxfId="316" priority="166" stopIfTrue="1" operator="greaterThanOrEqual">
      <formula>0</formula>
    </cfRule>
  </conditionalFormatting>
  <conditionalFormatting sqref="CO58">
    <cfRule type="cellIs" dxfId="315" priority="165" stopIfTrue="1" operator="greaterThanOrEqual">
      <formula>0</formula>
    </cfRule>
  </conditionalFormatting>
  <conditionalFormatting sqref="CO59:CO60">
    <cfRule type="cellIs" dxfId="314" priority="164" stopIfTrue="1" operator="greaterThanOrEqual">
      <formula>0</formula>
    </cfRule>
  </conditionalFormatting>
  <conditionalFormatting sqref="CO57">
    <cfRule type="cellIs" dxfId="313" priority="163" stopIfTrue="1" operator="greaterThanOrEqual">
      <formula>0</formula>
    </cfRule>
  </conditionalFormatting>
  <conditionalFormatting sqref="AJ57">
    <cfRule type="cellIs" dxfId="312" priority="162" stopIfTrue="1" operator="notEqual">
      <formula>ROUND(AJ57,0)</formula>
    </cfRule>
  </conditionalFormatting>
  <conditionalFormatting sqref="G57:G61">
    <cfRule type="expression" dxfId="311" priority="161" stopIfTrue="1">
      <formula>G57&lt;&gt;#REF!</formula>
    </cfRule>
  </conditionalFormatting>
  <conditionalFormatting sqref="T56">
    <cfRule type="cellIs" dxfId="310" priority="158" stopIfTrue="1" operator="notEqual">
      <formula>O56+R56+S56</formula>
    </cfRule>
  </conditionalFormatting>
  <conditionalFormatting sqref="BE56:BI56 BK56:BM56">
    <cfRule type="cellIs" dxfId="309" priority="157" stopIfTrue="1" operator="greaterThanOrEqual">
      <formula>0</formula>
    </cfRule>
  </conditionalFormatting>
  <conditionalFormatting sqref="X56:Z56">
    <cfRule type="cellIs" dxfId="308" priority="159" stopIfTrue="1" operator="notEqual">
      <formula>ROUND(X56,0)</formula>
    </cfRule>
  </conditionalFormatting>
  <conditionalFormatting sqref="O56">
    <cfRule type="cellIs" dxfId="307" priority="156" stopIfTrue="1" operator="notEqual">
      <formula>SUM(P56:Q56)</formula>
    </cfRule>
  </conditionalFormatting>
  <conditionalFormatting sqref="AI56">
    <cfRule type="cellIs" dxfId="306" priority="155" stopIfTrue="1" operator="notEqual">
      <formula>ROUND(AI56,0)</formula>
    </cfRule>
  </conditionalFormatting>
  <conditionalFormatting sqref="CP56:CQ56">
    <cfRule type="cellIs" dxfId="305" priority="154" stopIfTrue="1" operator="greaterThanOrEqual">
      <formula>0</formula>
    </cfRule>
  </conditionalFormatting>
  <conditionalFormatting sqref="AI55">
    <cfRule type="cellIs" dxfId="304" priority="153" stopIfTrue="1" operator="notEqual">
      <formula>ROUND(AI55,0)</formula>
    </cfRule>
  </conditionalFormatting>
  <conditionalFormatting sqref="AP55 AE55:AH55 AJ55">
    <cfRule type="cellIs" dxfId="303" priority="152" stopIfTrue="1" operator="notEqual">
      <formula>ROUND(AE55,0)</formula>
    </cfRule>
  </conditionalFormatting>
  <conditionalFormatting sqref="T55">
    <cfRule type="cellIs" dxfId="302" priority="150" stopIfTrue="1" operator="notEqual">
      <formula>O55+R55+S55</formula>
    </cfRule>
  </conditionalFormatting>
  <conditionalFormatting sqref="BE55:BI55 BK55:BM55">
    <cfRule type="cellIs" dxfId="301" priority="149" stopIfTrue="1" operator="greaterThanOrEqual">
      <formula>0</formula>
    </cfRule>
  </conditionalFormatting>
  <conditionalFormatting sqref="X55:Z55">
    <cfRule type="cellIs" dxfId="300" priority="151" stopIfTrue="1" operator="notEqual">
      <formula>ROUND(X55,0)</formula>
    </cfRule>
  </conditionalFormatting>
  <conditionalFormatting sqref="O55">
    <cfRule type="cellIs" dxfId="299" priority="148" stopIfTrue="1" operator="notEqual">
      <formula>SUM(P55:Q55)</formula>
    </cfRule>
  </conditionalFormatting>
  <conditionalFormatting sqref="CP55:CQ55">
    <cfRule type="cellIs" dxfId="298" priority="147" stopIfTrue="1" operator="greaterThanOrEqual">
      <formula>0</formula>
    </cfRule>
  </conditionalFormatting>
  <conditionalFormatting sqref="CO56">
    <cfRule type="cellIs" dxfId="297" priority="146" stopIfTrue="1" operator="greaterThanOrEqual">
      <formula>0</formula>
    </cfRule>
  </conditionalFormatting>
  <conditionalFormatting sqref="CO55">
    <cfRule type="cellIs" dxfId="296" priority="145" stopIfTrue="1" operator="greaterThanOrEqual">
      <formula>0</formula>
    </cfRule>
  </conditionalFormatting>
  <conditionalFormatting sqref="G55:G56">
    <cfRule type="expression" dxfId="295" priority="144" stopIfTrue="1">
      <formula>G55&lt;&gt;#REF!</formula>
    </cfRule>
  </conditionalFormatting>
  <conditionalFormatting sqref="AA55:AC69">
    <cfRule type="cellIs" dxfId="294" priority="143" stopIfTrue="1" operator="notEqual">
      <formula>ROUND(AA55,0)</formula>
    </cfRule>
  </conditionalFormatting>
  <conditionalFormatting sqref="AD55:AD69">
    <cfRule type="cellIs" dxfId="293" priority="142" stopIfTrue="1" operator="notEqual">
      <formula>ROUND(AD55,0)</formula>
    </cfRule>
  </conditionalFormatting>
  <conditionalFormatting sqref="F51:F70">
    <cfRule type="containsText" dxfId="292" priority="141" operator="containsText" text="да">
      <formula>NOT(ISERROR(SEARCH("да",F51)))</formula>
    </cfRule>
  </conditionalFormatting>
  <conditionalFormatting sqref="B51:B85 B91:B92">
    <cfRule type="cellIs" dxfId="291" priority="140" operator="equal">
      <formula>TODAY()</formula>
    </cfRule>
  </conditionalFormatting>
  <conditionalFormatting sqref="BN86:BY88 BN90:BY90 CA90:CN90 CA86:CN88">
    <cfRule type="cellIs" dxfId="290" priority="139" stopIfTrue="1" operator="greaterThanOrEqual">
      <formula>0</formula>
    </cfRule>
  </conditionalFormatting>
  <conditionalFormatting sqref="AK86:AO88 U86:W88 U90:W90 AK90:AO90">
    <cfRule type="cellIs" dxfId="289" priority="138" stopIfTrue="1" operator="notEqual">
      <formula>ROUND(U86,0)</formula>
    </cfRule>
  </conditionalFormatting>
  <conditionalFormatting sqref="AI90">
    <cfRule type="cellIs" dxfId="288" priority="137" stopIfTrue="1" operator="notEqual">
      <formula>ROUND(AI90,0)</formula>
    </cfRule>
  </conditionalFormatting>
  <conditionalFormatting sqref="AP90 AE90:AH90">
    <cfRule type="cellIs" dxfId="287" priority="136" stopIfTrue="1" operator="notEqual">
      <formula>ROUND(AE90,0)</formula>
    </cfRule>
  </conditionalFormatting>
  <conditionalFormatting sqref="T90">
    <cfRule type="cellIs" dxfId="286" priority="134" stopIfTrue="1" operator="notEqual">
      <formula>O90+R90+S90</formula>
    </cfRule>
  </conditionalFormatting>
  <conditionalFormatting sqref="BE90:BI90 BK90:BM90">
    <cfRule type="cellIs" dxfId="285" priority="133" stopIfTrue="1" operator="greaterThanOrEqual">
      <formula>0</formula>
    </cfRule>
  </conditionalFormatting>
  <conditionalFormatting sqref="X90:Z90">
    <cfRule type="cellIs" dxfId="284" priority="135" stopIfTrue="1" operator="notEqual">
      <formula>ROUND(X90,0)</formula>
    </cfRule>
  </conditionalFormatting>
  <conditionalFormatting sqref="O90">
    <cfRule type="cellIs" dxfId="283" priority="132" stopIfTrue="1" operator="notEqual">
      <formula>SUM(P90:Q90)</formula>
    </cfRule>
  </conditionalFormatting>
  <conditionalFormatting sqref="CP90:CQ90">
    <cfRule type="cellIs" dxfId="282" priority="131" stopIfTrue="1" operator="greaterThanOrEqual">
      <formula>0</formula>
    </cfRule>
  </conditionalFormatting>
  <conditionalFormatting sqref="CO90">
    <cfRule type="cellIs" dxfId="281" priority="130" stopIfTrue="1" operator="greaterThanOrEqual">
      <formula>0</formula>
    </cfRule>
  </conditionalFormatting>
  <conditionalFormatting sqref="AJ90">
    <cfRule type="cellIs" dxfId="280" priority="129" stopIfTrue="1" operator="notEqual">
      <formula>ROUND(AJ90,0)</formula>
    </cfRule>
  </conditionalFormatting>
  <conditionalFormatting sqref="G90">
    <cfRule type="expression" dxfId="279" priority="128" stopIfTrue="1">
      <formula>G90&lt;&gt;#REF!</formula>
    </cfRule>
  </conditionalFormatting>
  <conditionalFormatting sqref="AE88:AH88 AJ88 AP88">
    <cfRule type="cellIs" dxfId="278" priority="127" stopIfTrue="1" operator="notEqual">
      <formula>ROUND(AE88,0)</formula>
    </cfRule>
  </conditionalFormatting>
  <conditionalFormatting sqref="T88">
    <cfRule type="cellIs" dxfId="277" priority="125" stopIfTrue="1" operator="notEqual">
      <formula>O88+R88+S88</formula>
    </cfRule>
  </conditionalFormatting>
  <conditionalFormatting sqref="BE88:BI88 BK88:BM88">
    <cfRule type="cellIs" dxfId="276" priority="124" stopIfTrue="1" operator="greaterThanOrEqual">
      <formula>0</formula>
    </cfRule>
  </conditionalFormatting>
  <conditionalFormatting sqref="X88:Z88">
    <cfRule type="cellIs" dxfId="275" priority="126" stopIfTrue="1" operator="notEqual">
      <formula>ROUND(X88,0)</formula>
    </cfRule>
  </conditionalFormatting>
  <conditionalFormatting sqref="O88">
    <cfRule type="cellIs" dxfId="274" priority="123" stopIfTrue="1" operator="notEqual">
      <formula>SUM(P88:Q88)</formula>
    </cfRule>
  </conditionalFormatting>
  <conditionalFormatting sqref="AI88">
    <cfRule type="cellIs" dxfId="273" priority="122" stopIfTrue="1" operator="notEqual">
      <formula>ROUND(AI88,0)</formula>
    </cfRule>
  </conditionalFormatting>
  <conditionalFormatting sqref="CP88:CQ88">
    <cfRule type="cellIs" dxfId="272" priority="121" stopIfTrue="1" operator="greaterThanOrEqual">
      <formula>0</formula>
    </cfRule>
  </conditionalFormatting>
  <conditionalFormatting sqref="AI86:AI87">
    <cfRule type="cellIs" dxfId="271" priority="120" stopIfTrue="1" operator="notEqual">
      <formula>ROUND(AI86,0)</formula>
    </cfRule>
  </conditionalFormatting>
  <conditionalFormatting sqref="AP86:AP87 AE86:AH87 AJ86:AJ87">
    <cfRule type="cellIs" dxfId="270" priority="119" stopIfTrue="1" operator="notEqual">
      <formula>ROUND(AE86,0)</formula>
    </cfRule>
  </conditionalFormatting>
  <conditionalFormatting sqref="T86:T87">
    <cfRule type="cellIs" dxfId="269" priority="117" stopIfTrue="1" operator="notEqual">
      <formula>O86+R86+S86</formula>
    </cfRule>
  </conditionalFormatting>
  <conditionalFormatting sqref="BE86:BI87 BK86:BM87">
    <cfRule type="cellIs" dxfId="268" priority="116" stopIfTrue="1" operator="greaterThanOrEqual">
      <formula>0</formula>
    </cfRule>
  </conditionalFormatting>
  <conditionalFormatting sqref="X86:Z87">
    <cfRule type="cellIs" dxfId="267" priority="118" stopIfTrue="1" operator="notEqual">
      <formula>ROUND(X86,0)</formula>
    </cfRule>
  </conditionalFormatting>
  <conditionalFormatting sqref="O86:O87">
    <cfRule type="cellIs" dxfId="266" priority="115" stopIfTrue="1" operator="notEqual">
      <formula>SUM(P86:Q86)</formula>
    </cfRule>
  </conditionalFormatting>
  <conditionalFormatting sqref="CP86:CQ87">
    <cfRule type="cellIs" dxfId="265" priority="114" stopIfTrue="1" operator="greaterThanOrEqual">
      <formula>0</formula>
    </cfRule>
  </conditionalFormatting>
  <conditionalFormatting sqref="CO88">
    <cfRule type="cellIs" dxfId="264" priority="113" stopIfTrue="1" operator="greaterThanOrEqual">
      <formula>0</formula>
    </cfRule>
  </conditionalFormatting>
  <conditionalFormatting sqref="CO86:CO87">
    <cfRule type="cellIs" dxfId="263" priority="112" stopIfTrue="1" operator="greaterThanOrEqual">
      <formula>0</formula>
    </cfRule>
  </conditionalFormatting>
  <conditionalFormatting sqref="G86:G88">
    <cfRule type="expression" dxfId="262" priority="111" stopIfTrue="1">
      <formula>G86&lt;&gt;#REF!</formula>
    </cfRule>
  </conditionalFormatting>
  <conditionalFormatting sqref="AA86:AC88 AA90:AC90">
    <cfRule type="cellIs" dxfId="261" priority="110" stopIfTrue="1" operator="notEqual">
      <formula>ROUND(AA86,0)</formula>
    </cfRule>
  </conditionalFormatting>
  <conditionalFormatting sqref="AD86:AD88 AD90">
    <cfRule type="cellIs" dxfId="260" priority="109" stopIfTrue="1" operator="notEqual">
      <formula>ROUND(AD86,0)</formula>
    </cfRule>
  </conditionalFormatting>
  <conditionalFormatting sqref="F86:F88 F90">
    <cfRule type="containsText" dxfId="259" priority="108" operator="containsText" text="да">
      <formula>NOT(ISERROR(SEARCH("да",F86)))</formula>
    </cfRule>
  </conditionalFormatting>
  <conditionalFormatting sqref="B86:B88 B90">
    <cfRule type="cellIs" dxfId="258" priority="107" operator="equal">
      <formula>TODAY()</formula>
    </cfRule>
  </conditionalFormatting>
  <conditionalFormatting sqref="BN89:BY89 CA89:CN89">
    <cfRule type="cellIs" dxfId="257" priority="106" stopIfTrue="1" operator="greaterThanOrEqual">
      <formula>0</formula>
    </cfRule>
  </conditionalFormatting>
  <conditionalFormatting sqref="U89:W89 AK89:AO89">
    <cfRule type="cellIs" dxfId="256" priority="105" stopIfTrue="1" operator="notEqual">
      <formula>ROUND(U89,0)</formula>
    </cfRule>
  </conditionalFormatting>
  <conditionalFormatting sqref="AI89">
    <cfRule type="cellIs" dxfId="255" priority="104" stopIfTrue="1" operator="notEqual">
      <formula>ROUND(AI89,0)</formula>
    </cfRule>
  </conditionalFormatting>
  <conditionalFormatting sqref="AP89 AE89:AH89">
    <cfRule type="cellIs" dxfId="254" priority="103" stopIfTrue="1" operator="notEqual">
      <formula>ROUND(AE89,0)</formula>
    </cfRule>
  </conditionalFormatting>
  <conditionalFormatting sqref="T89">
    <cfRule type="cellIs" dxfId="253" priority="101" stopIfTrue="1" operator="notEqual">
      <formula>O89+R89+S89</formula>
    </cfRule>
  </conditionalFormatting>
  <conditionalFormatting sqref="BE89:BI89 BK89:BM89">
    <cfRule type="cellIs" dxfId="252" priority="100" stopIfTrue="1" operator="greaterThanOrEqual">
      <formula>0</formula>
    </cfRule>
  </conditionalFormatting>
  <conditionalFormatting sqref="X89:Z89">
    <cfRule type="cellIs" dxfId="251" priority="102" stopIfTrue="1" operator="notEqual">
      <formula>ROUND(X89,0)</formula>
    </cfRule>
  </conditionalFormatting>
  <conditionalFormatting sqref="O89">
    <cfRule type="cellIs" dxfId="250" priority="99" stopIfTrue="1" operator="notEqual">
      <formula>SUM(P89:Q89)</formula>
    </cfRule>
  </conditionalFormatting>
  <conditionalFormatting sqref="CP89:CQ89">
    <cfRule type="cellIs" dxfId="249" priority="98" stopIfTrue="1" operator="greaterThanOrEqual">
      <formula>0</formula>
    </cfRule>
  </conditionalFormatting>
  <conditionalFormatting sqref="CO89">
    <cfRule type="cellIs" dxfId="248" priority="97" stopIfTrue="1" operator="greaterThanOrEqual">
      <formula>0</formula>
    </cfRule>
  </conditionalFormatting>
  <conditionalFormatting sqref="AJ89">
    <cfRule type="cellIs" dxfId="247" priority="96" stopIfTrue="1" operator="notEqual">
      <formula>ROUND(AJ89,0)</formula>
    </cfRule>
  </conditionalFormatting>
  <conditionalFormatting sqref="G89">
    <cfRule type="expression" dxfId="246" priority="95" stopIfTrue="1">
      <formula>G89&lt;&gt;#REF!</formula>
    </cfRule>
  </conditionalFormatting>
  <conditionalFormatting sqref="AA89:AC89">
    <cfRule type="cellIs" dxfId="245" priority="94" stopIfTrue="1" operator="notEqual">
      <formula>ROUND(AA89,0)</formula>
    </cfRule>
  </conditionalFormatting>
  <conditionalFormatting sqref="AD89">
    <cfRule type="cellIs" dxfId="244" priority="93" stopIfTrue="1" operator="notEqual">
      <formula>ROUND(AD89,0)</formula>
    </cfRule>
  </conditionalFormatting>
  <conditionalFormatting sqref="F89">
    <cfRule type="containsText" dxfId="243" priority="92" operator="containsText" text="да">
      <formula>NOT(ISERROR(SEARCH("да",F89)))</formula>
    </cfRule>
  </conditionalFormatting>
  <conditionalFormatting sqref="B89">
    <cfRule type="cellIs" dxfId="242" priority="91" operator="equal">
      <formula>TODAY()</formula>
    </cfRule>
  </conditionalFormatting>
  <conditionalFormatting sqref="CR13:CX13">
    <cfRule type="cellIs" dxfId="241" priority="90" stopIfTrue="1" operator="greaterThanOrEqual">
      <formula>0</formula>
    </cfRule>
  </conditionalFormatting>
  <conditionalFormatting sqref="CR12:CX12">
    <cfRule type="cellIs" dxfId="240" priority="89" stopIfTrue="1" operator="greaterThanOrEqual">
      <formula>0</formula>
    </cfRule>
  </conditionalFormatting>
  <conditionalFormatting sqref="CR9:CX9">
    <cfRule type="cellIs" dxfId="239" priority="88" stopIfTrue="1" operator="greaterThanOrEqual">
      <formula>0</formula>
    </cfRule>
  </conditionalFormatting>
  <conditionalFormatting sqref="CR10:CX11">
    <cfRule type="cellIs" dxfId="238" priority="87" stopIfTrue="1" operator="greaterThanOrEqual">
      <formula>0</formula>
    </cfRule>
  </conditionalFormatting>
  <conditionalFormatting sqref="CR8:CX8">
    <cfRule type="cellIs" dxfId="237" priority="86" stopIfTrue="1" operator="greaterThanOrEqual">
      <formula>0</formula>
    </cfRule>
  </conditionalFormatting>
  <conditionalFormatting sqref="CR7:CX7">
    <cfRule type="cellIs" dxfId="236" priority="85" stopIfTrue="1" operator="greaterThanOrEqual">
      <formula>0</formula>
    </cfRule>
  </conditionalFormatting>
  <conditionalFormatting sqref="CR6:CX6">
    <cfRule type="cellIs" dxfId="235" priority="84" stopIfTrue="1" operator="greaterThanOrEqual">
      <formula>0</formula>
    </cfRule>
  </conditionalFormatting>
  <conditionalFormatting sqref="CR4:CX5">
    <cfRule type="cellIs" dxfId="234" priority="83" stopIfTrue="1" operator="greaterThanOrEqual">
      <formula>0</formula>
    </cfRule>
  </conditionalFormatting>
  <conditionalFormatting sqref="CR35:CX35">
    <cfRule type="cellIs" dxfId="233" priority="82" stopIfTrue="1" operator="greaterThanOrEqual">
      <formula>0</formula>
    </cfRule>
  </conditionalFormatting>
  <conditionalFormatting sqref="CR34:CX34">
    <cfRule type="cellIs" dxfId="232" priority="81" stopIfTrue="1" operator="greaterThanOrEqual">
      <formula>0</formula>
    </cfRule>
  </conditionalFormatting>
  <conditionalFormatting sqref="CR93:CX93">
    <cfRule type="cellIs" dxfId="231" priority="80" stopIfTrue="1" operator="greaterThanOrEqual">
      <formula>0</formula>
    </cfRule>
  </conditionalFormatting>
  <conditionalFormatting sqref="CR49:CX49">
    <cfRule type="cellIs" dxfId="230" priority="79" stopIfTrue="1" operator="greaterThanOrEqual">
      <formula>0</formula>
    </cfRule>
  </conditionalFormatting>
  <conditionalFormatting sqref="CR50:CX50">
    <cfRule type="cellIs" dxfId="229" priority="78" stopIfTrue="1" operator="greaterThanOrEqual">
      <formula>0</formula>
    </cfRule>
  </conditionalFormatting>
  <conditionalFormatting sqref="CR48:CX48">
    <cfRule type="cellIs" dxfId="228" priority="77" stopIfTrue="1" operator="greaterThanOrEqual">
      <formula>0</formula>
    </cfRule>
  </conditionalFormatting>
  <conditionalFormatting sqref="CR47:CX47">
    <cfRule type="cellIs" dxfId="227" priority="76" stopIfTrue="1" operator="greaterThanOrEqual">
      <formula>0</formula>
    </cfRule>
  </conditionalFormatting>
  <conditionalFormatting sqref="CR44:CX44">
    <cfRule type="cellIs" dxfId="226" priority="75" stopIfTrue="1" operator="greaterThanOrEqual">
      <formula>0</formula>
    </cfRule>
  </conditionalFormatting>
  <conditionalFormatting sqref="CR45:CX46">
    <cfRule type="cellIs" dxfId="225" priority="74" stopIfTrue="1" operator="greaterThanOrEqual">
      <formula>0</formula>
    </cfRule>
  </conditionalFormatting>
  <conditionalFormatting sqref="CR43:CX43">
    <cfRule type="cellIs" dxfId="224" priority="73" stopIfTrue="1" operator="greaterThanOrEqual">
      <formula>0</formula>
    </cfRule>
  </conditionalFormatting>
  <conditionalFormatting sqref="CR42:CX42">
    <cfRule type="cellIs" dxfId="223" priority="72" stopIfTrue="1" operator="greaterThanOrEqual">
      <formula>0</formula>
    </cfRule>
  </conditionalFormatting>
  <conditionalFormatting sqref="CR39:CX39">
    <cfRule type="cellIs" dxfId="222" priority="71" stopIfTrue="1" operator="greaterThanOrEqual">
      <formula>0</formula>
    </cfRule>
  </conditionalFormatting>
  <conditionalFormatting sqref="CR40:CX41">
    <cfRule type="cellIs" dxfId="221" priority="70" stopIfTrue="1" operator="greaterThanOrEqual">
      <formula>0</formula>
    </cfRule>
  </conditionalFormatting>
  <conditionalFormatting sqref="CR38:CX38">
    <cfRule type="cellIs" dxfId="220" priority="69" stopIfTrue="1" operator="greaterThanOrEqual">
      <formula>0</formula>
    </cfRule>
  </conditionalFormatting>
  <conditionalFormatting sqref="CR37:CX37">
    <cfRule type="cellIs" dxfId="219" priority="68" stopIfTrue="1" operator="greaterThanOrEqual">
      <formula>0</formula>
    </cfRule>
  </conditionalFormatting>
  <conditionalFormatting sqref="CR36:CX36">
    <cfRule type="cellIs" dxfId="218" priority="67" stopIfTrue="1" operator="greaterThanOrEqual">
      <formula>0</formula>
    </cfRule>
  </conditionalFormatting>
  <conditionalFormatting sqref="CR17:CX17">
    <cfRule type="cellIs" dxfId="217" priority="66" stopIfTrue="1" operator="greaterThanOrEqual">
      <formula>0</formula>
    </cfRule>
  </conditionalFormatting>
  <conditionalFormatting sqref="CR16:CX16">
    <cfRule type="cellIs" dxfId="216" priority="65" stopIfTrue="1" operator="greaterThanOrEqual">
      <formula>0</formula>
    </cfRule>
  </conditionalFormatting>
  <conditionalFormatting sqref="CR14:CX14">
    <cfRule type="cellIs" dxfId="215" priority="64" stopIfTrue="1" operator="greaterThanOrEqual">
      <formula>0</formula>
    </cfRule>
  </conditionalFormatting>
  <conditionalFormatting sqref="CR15:CX15">
    <cfRule type="cellIs" dxfId="214" priority="63" stopIfTrue="1" operator="greaterThanOrEqual">
      <formula>0</formula>
    </cfRule>
  </conditionalFormatting>
  <conditionalFormatting sqref="CR33:CX33">
    <cfRule type="cellIs" dxfId="213" priority="62" stopIfTrue="1" operator="greaterThanOrEqual">
      <formula>0</formula>
    </cfRule>
  </conditionalFormatting>
  <conditionalFormatting sqref="CR31:CX31">
    <cfRule type="cellIs" dxfId="212" priority="61" stopIfTrue="1" operator="greaterThanOrEqual">
      <formula>0</formula>
    </cfRule>
  </conditionalFormatting>
  <conditionalFormatting sqref="CR32:CX32">
    <cfRule type="cellIs" dxfId="211" priority="60" stopIfTrue="1" operator="greaterThanOrEqual">
      <formula>0</formula>
    </cfRule>
  </conditionalFormatting>
  <conditionalFormatting sqref="CR30:CX30">
    <cfRule type="cellIs" dxfId="210" priority="59" stopIfTrue="1" operator="greaterThanOrEqual">
      <formula>0</formula>
    </cfRule>
  </conditionalFormatting>
  <conditionalFormatting sqref="CR29:CX29">
    <cfRule type="cellIs" dxfId="209" priority="58" stopIfTrue="1" operator="greaterThanOrEqual">
      <formula>0</formula>
    </cfRule>
  </conditionalFormatting>
  <conditionalFormatting sqref="CR26:CX26">
    <cfRule type="cellIs" dxfId="208" priority="57" stopIfTrue="1" operator="greaterThanOrEqual">
      <formula>0</formula>
    </cfRule>
  </conditionalFormatting>
  <conditionalFormatting sqref="CR27:CX28">
    <cfRule type="cellIs" dxfId="207" priority="56" stopIfTrue="1" operator="greaterThanOrEqual">
      <formula>0</formula>
    </cfRule>
  </conditionalFormatting>
  <conditionalFormatting sqref="CR25:CX25">
    <cfRule type="cellIs" dxfId="206" priority="55" stopIfTrue="1" operator="greaterThanOrEqual">
      <formula>0</formula>
    </cfRule>
  </conditionalFormatting>
  <conditionalFormatting sqref="CR24:CX24">
    <cfRule type="cellIs" dxfId="205" priority="54" stopIfTrue="1" operator="greaterThanOrEqual">
      <formula>0</formula>
    </cfRule>
  </conditionalFormatting>
  <conditionalFormatting sqref="CR21:CX21">
    <cfRule type="cellIs" dxfId="204" priority="53" stopIfTrue="1" operator="greaterThanOrEqual">
      <formula>0</formula>
    </cfRule>
  </conditionalFormatting>
  <conditionalFormatting sqref="CR22:CX23">
    <cfRule type="cellIs" dxfId="203" priority="52" stopIfTrue="1" operator="greaterThanOrEqual">
      <formula>0</formula>
    </cfRule>
  </conditionalFormatting>
  <conditionalFormatting sqref="CR20:CX20">
    <cfRule type="cellIs" dxfId="202" priority="51" stopIfTrue="1" operator="greaterThanOrEqual">
      <formula>0</formula>
    </cfRule>
  </conditionalFormatting>
  <conditionalFormatting sqref="CR19:CX19">
    <cfRule type="cellIs" dxfId="201" priority="50" stopIfTrue="1" operator="greaterThanOrEqual">
      <formula>0</formula>
    </cfRule>
  </conditionalFormatting>
  <conditionalFormatting sqref="CR18:CX18">
    <cfRule type="cellIs" dxfId="200" priority="49" stopIfTrue="1" operator="greaterThanOrEqual">
      <formula>0</formula>
    </cfRule>
  </conditionalFormatting>
  <conditionalFormatting sqref="CR72:CX72">
    <cfRule type="cellIs" dxfId="199" priority="48" stopIfTrue="1" operator="greaterThanOrEqual">
      <formula>0</formula>
    </cfRule>
  </conditionalFormatting>
  <conditionalFormatting sqref="CR71:CX71">
    <cfRule type="cellIs" dxfId="198" priority="47" stopIfTrue="1" operator="greaterThanOrEqual">
      <formula>0</formula>
    </cfRule>
  </conditionalFormatting>
  <conditionalFormatting sqref="CR91:CX91">
    <cfRule type="cellIs" dxfId="197" priority="46" stopIfTrue="1" operator="greaterThanOrEqual">
      <formula>0</formula>
    </cfRule>
  </conditionalFormatting>
  <conditionalFormatting sqref="CR92:CX92">
    <cfRule type="cellIs" dxfId="196" priority="45" stopIfTrue="1" operator="greaterThanOrEqual">
      <formula>0</formula>
    </cfRule>
  </conditionalFormatting>
  <conditionalFormatting sqref="CR85:CX85">
    <cfRule type="cellIs" dxfId="195" priority="44" stopIfTrue="1" operator="greaterThanOrEqual">
      <formula>0</formula>
    </cfRule>
  </conditionalFormatting>
  <conditionalFormatting sqref="CR84:CX84">
    <cfRule type="cellIs" dxfId="194" priority="43" stopIfTrue="1" operator="greaterThanOrEqual">
      <formula>0</formula>
    </cfRule>
  </conditionalFormatting>
  <conditionalFormatting sqref="CR81:CX81">
    <cfRule type="cellIs" dxfId="193" priority="42" stopIfTrue="1" operator="greaterThanOrEqual">
      <formula>0</formula>
    </cfRule>
  </conditionalFormatting>
  <conditionalFormatting sqref="CR82:CX83">
    <cfRule type="cellIs" dxfId="192" priority="41" stopIfTrue="1" operator="greaterThanOrEqual">
      <formula>0</formula>
    </cfRule>
  </conditionalFormatting>
  <conditionalFormatting sqref="CR80:CX80">
    <cfRule type="cellIs" dxfId="191" priority="40" stopIfTrue="1" operator="greaterThanOrEqual">
      <formula>0</formula>
    </cfRule>
  </conditionalFormatting>
  <conditionalFormatting sqref="CR79:CX79">
    <cfRule type="cellIs" dxfId="190" priority="39" stopIfTrue="1" operator="greaterThanOrEqual">
      <formula>0</formula>
    </cfRule>
  </conditionalFormatting>
  <conditionalFormatting sqref="CR76:CX76">
    <cfRule type="cellIs" dxfId="189" priority="38" stopIfTrue="1" operator="greaterThanOrEqual">
      <formula>0</formula>
    </cfRule>
  </conditionalFormatting>
  <conditionalFormatting sqref="CR77:CX78">
    <cfRule type="cellIs" dxfId="188" priority="37" stopIfTrue="1" operator="greaterThanOrEqual">
      <formula>0</formula>
    </cfRule>
  </conditionalFormatting>
  <conditionalFormatting sqref="CR75:CX75">
    <cfRule type="cellIs" dxfId="187" priority="36" stopIfTrue="1" operator="greaterThanOrEqual">
      <formula>0</formula>
    </cfRule>
  </conditionalFormatting>
  <conditionalFormatting sqref="CR74:CX74">
    <cfRule type="cellIs" dxfId="186" priority="35" stopIfTrue="1" operator="greaterThanOrEqual">
      <formula>0</formula>
    </cfRule>
  </conditionalFormatting>
  <conditionalFormatting sqref="CR73:CX73">
    <cfRule type="cellIs" dxfId="185" priority="34" stopIfTrue="1" operator="greaterThanOrEqual">
      <formula>0</formula>
    </cfRule>
  </conditionalFormatting>
  <conditionalFormatting sqref="CR54:CX54">
    <cfRule type="cellIs" dxfId="184" priority="33" stopIfTrue="1" operator="greaterThanOrEqual">
      <formula>0</formula>
    </cfRule>
  </conditionalFormatting>
  <conditionalFormatting sqref="CR53:CX53">
    <cfRule type="cellIs" dxfId="183" priority="32" stopIfTrue="1" operator="greaterThanOrEqual">
      <formula>0</formula>
    </cfRule>
  </conditionalFormatting>
  <conditionalFormatting sqref="CR51:CX51">
    <cfRule type="cellIs" dxfId="182" priority="31" stopIfTrue="1" operator="greaterThanOrEqual">
      <formula>0</formula>
    </cfRule>
  </conditionalFormatting>
  <conditionalFormatting sqref="CR52:CX52">
    <cfRule type="cellIs" dxfId="181" priority="30" stopIfTrue="1" operator="greaterThanOrEqual">
      <formula>0</formula>
    </cfRule>
  </conditionalFormatting>
  <conditionalFormatting sqref="CR70:CX70">
    <cfRule type="cellIs" dxfId="180" priority="29" stopIfTrue="1" operator="greaterThanOrEqual">
      <formula>0</formula>
    </cfRule>
  </conditionalFormatting>
  <conditionalFormatting sqref="CR68:CX68">
    <cfRule type="cellIs" dxfId="179" priority="28" stopIfTrue="1" operator="greaterThanOrEqual">
      <formula>0</formula>
    </cfRule>
  </conditionalFormatting>
  <conditionalFormatting sqref="CR69:CX69">
    <cfRule type="cellIs" dxfId="178" priority="27" stopIfTrue="1" operator="greaterThanOrEqual">
      <formula>0</formula>
    </cfRule>
  </conditionalFormatting>
  <conditionalFormatting sqref="CR67:CX67">
    <cfRule type="cellIs" dxfId="177" priority="26" stopIfTrue="1" operator="greaterThanOrEqual">
      <formula>0</formula>
    </cfRule>
  </conditionalFormatting>
  <conditionalFormatting sqref="CR66:CX66">
    <cfRule type="cellIs" dxfId="176" priority="25" stopIfTrue="1" operator="greaterThanOrEqual">
      <formula>0</formula>
    </cfRule>
  </conditionalFormatting>
  <conditionalFormatting sqref="CR63:CX63">
    <cfRule type="cellIs" dxfId="175" priority="24" stopIfTrue="1" operator="greaterThanOrEqual">
      <formula>0</formula>
    </cfRule>
  </conditionalFormatting>
  <conditionalFormatting sqref="CR64:CX65">
    <cfRule type="cellIs" dxfId="174" priority="23" stopIfTrue="1" operator="greaterThanOrEqual">
      <formula>0</formula>
    </cfRule>
  </conditionalFormatting>
  <conditionalFormatting sqref="CR62:CX62">
    <cfRule type="cellIs" dxfId="173" priority="22" stopIfTrue="1" operator="greaterThanOrEqual">
      <formula>0</formula>
    </cfRule>
  </conditionalFormatting>
  <conditionalFormatting sqref="CR61:CX61">
    <cfRule type="cellIs" dxfId="172" priority="21" stopIfTrue="1" operator="greaterThanOrEqual">
      <formula>0</formula>
    </cfRule>
  </conditionalFormatting>
  <conditionalFormatting sqref="CR58:CX58">
    <cfRule type="cellIs" dxfId="171" priority="20" stopIfTrue="1" operator="greaterThanOrEqual">
      <formula>0</formula>
    </cfRule>
  </conditionalFormatting>
  <conditionalFormatting sqref="CR59:CX60">
    <cfRule type="cellIs" dxfId="170" priority="19" stopIfTrue="1" operator="greaterThanOrEqual">
      <formula>0</formula>
    </cfRule>
  </conditionalFormatting>
  <conditionalFormatting sqref="CR57:CX57">
    <cfRule type="cellIs" dxfId="169" priority="18" stopIfTrue="1" operator="greaterThanOrEqual">
      <formula>0</formula>
    </cfRule>
  </conditionalFormatting>
  <conditionalFormatting sqref="CR56:CX56">
    <cfRule type="cellIs" dxfId="168" priority="17" stopIfTrue="1" operator="greaterThanOrEqual">
      <formula>0</formula>
    </cfRule>
  </conditionalFormatting>
  <conditionalFormatting sqref="CR55:CX55">
    <cfRule type="cellIs" dxfId="167" priority="16" stopIfTrue="1" operator="greaterThanOrEqual">
      <formula>0</formula>
    </cfRule>
  </conditionalFormatting>
  <conditionalFormatting sqref="CR90:CX90">
    <cfRule type="cellIs" dxfId="166" priority="15" stopIfTrue="1" operator="greaterThanOrEqual">
      <formula>0</formula>
    </cfRule>
  </conditionalFormatting>
  <conditionalFormatting sqref="CR88:CX88">
    <cfRule type="cellIs" dxfId="165" priority="14" stopIfTrue="1" operator="greaterThanOrEqual">
      <formula>0</formula>
    </cfRule>
  </conditionalFormatting>
  <conditionalFormatting sqref="CR86:CX87">
    <cfRule type="cellIs" dxfId="164" priority="13" stopIfTrue="1" operator="greaterThanOrEqual">
      <formula>0</formula>
    </cfRule>
  </conditionalFormatting>
  <conditionalFormatting sqref="CR89:CX89">
    <cfRule type="cellIs" dxfId="163" priority="12" stopIfTrue="1" operator="greaterThanOrEqual">
      <formula>0</formula>
    </cfRule>
  </conditionalFormatting>
  <conditionalFormatting sqref="BZ103 BZ10:BZ50 BZ93:BZ94">
    <cfRule type="cellIs" dxfId="162" priority="11" stopIfTrue="1" operator="greaterThanOrEqual">
      <formula>0</formula>
    </cfRule>
  </conditionalFormatting>
  <conditionalFormatting sqref="BZ51:BZ85 BZ91:BZ92">
    <cfRule type="cellIs" dxfId="161" priority="10" stopIfTrue="1" operator="greaterThanOrEqual">
      <formula>0</formula>
    </cfRule>
  </conditionalFormatting>
  <conditionalFormatting sqref="BZ86:BZ88 BZ90">
    <cfRule type="cellIs" dxfId="160" priority="9" stopIfTrue="1" operator="greaterThanOrEqual">
      <formula>0</formula>
    </cfRule>
  </conditionalFormatting>
  <conditionalFormatting sqref="BZ89">
    <cfRule type="cellIs" dxfId="159" priority="8" stopIfTrue="1" operator="greaterThanOrEqual">
      <formula>0</formula>
    </cfRule>
  </conditionalFormatting>
  <conditionalFormatting sqref="CA4:CD9 BN4:BY9">
    <cfRule type="cellIs" dxfId="158" priority="7" stopIfTrue="1" operator="greaterThanOrEqual">
      <formula>0</formula>
    </cfRule>
  </conditionalFormatting>
  <conditionalFormatting sqref="BK9:BM9">
    <cfRule type="cellIs" dxfId="157" priority="6" stopIfTrue="1" operator="greaterThanOrEqual">
      <formula>0</formula>
    </cfRule>
  </conditionalFormatting>
  <conditionalFormatting sqref="BK8:BM8">
    <cfRule type="cellIs" dxfId="156" priority="5" stopIfTrue="1" operator="greaterThanOrEqual">
      <formula>0</formula>
    </cfRule>
  </conditionalFormatting>
  <conditionalFormatting sqref="BK7:BM7">
    <cfRule type="cellIs" dxfId="155" priority="4" stopIfTrue="1" operator="greaterThanOrEqual">
      <formula>0</formula>
    </cfRule>
  </conditionalFormatting>
  <conditionalFormatting sqref="BK6:BM6">
    <cfRule type="cellIs" dxfId="154" priority="3" stopIfTrue="1" operator="greaterThanOrEqual">
      <formula>0</formula>
    </cfRule>
  </conditionalFormatting>
  <conditionalFormatting sqref="BK4:BM5">
    <cfRule type="cellIs" dxfId="153" priority="2" stopIfTrue="1" operator="greaterThanOrEqual">
      <formula>0</formula>
    </cfRule>
  </conditionalFormatting>
  <conditionalFormatting sqref="BZ4:BZ9">
    <cfRule type="cellIs" dxfId="152" priority="1" stopIfTrue="1" operator="greaterThanOrEqual">
      <formula>0</formula>
    </cfRule>
  </conditionalFormatting>
  <dataValidations count="6">
    <dataValidation allowBlank="1" showErrorMessage="1" prompt="должность специалиста подготовившего расчет" sqref="I100"/>
    <dataValidation allowBlank="1" showInputMessage="1" showErrorMessage="1" promptTitle="! Заполнить данные" prompt=" " sqref="I95"/>
    <dataValidation type="list" allowBlank="1" showInputMessage="1" showErrorMessage="1" sqref="G4:G94">
      <formula1>район</formula1>
    </dataValidation>
    <dataValidation type="list" allowBlank="1" showInputMessage="1" showErrorMessage="1" sqref="H4:H94">
      <formula1>вид_работ</formula1>
    </dataValidation>
    <dataValidation type="list" allowBlank="1" showInputMessage="1" showErrorMessage="1" sqref="E4:E94">
      <formula1>уров_цен</formula1>
    </dataValidation>
    <dataValidation type="list" allowBlank="1" showInputMessage="1" showErrorMessage="1" sqref="C4:C94">
      <formula1>"Затратный метод,Проектно-сметный метод"</formula1>
    </dataValidation>
  </dataValidations>
  <printOptions horizontalCentered="1"/>
  <pageMargins left="0.19685039370078741" right="0.19685039370078741" top="0.19685039370078741" bottom="0.19685039370078741" header="0.39370078740157483" footer="0.27559055118110237"/>
  <pageSetup paperSize="9" scale="10" orientation="portrait" r:id="rId6"/>
  <headerFooter alignWithMargins="0">
    <oddFooter>&amp;L&amp;T &amp;D&amp;R&amp;"Times New Roman,обычный"&amp;9&amp;P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notContainsText" priority="24978" operator="notContains" id="{72F5AFB2-50A4-44F1-A9EB-E780B0F4E18B}">
            <xm:f>ISERROR(SEARCH(VLOOKUP(E95,#REF!,1,0),E95))</xm:f>
            <xm:f>VLOOKUP(E95,#REF!,1,0)</xm:f>
            <x14:dxf>
              <font>
                <b/>
                <i val="0"/>
                <color rgb="FFFF0000"/>
              </font>
              <fill>
                <patternFill patternType="none">
                  <bgColor auto="1"/>
                </patternFill>
              </fill>
            </x14:dxf>
          </x14:cfRule>
          <xm:sqref>E95:E9857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>
    <tabColor theme="3" tint="0.79998168889431442"/>
    <pageSetUpPr fitToPage="1"/>
  </sheetPr>
  <dimension ref="A1:S51"/>
  <sheetViews>
    <sheetView showGridLines="0" showZeros="0" zoomScale="85" zoomScaleNormal="85" zoomScaleSheetLayoutView="70" workbookViewId="0">
      <pane xSplit="4" ySplit="1" topLeftCell="E2" activePane="bottomRight" state="frozen"/>
      <selection activeCell="E38" sqref="E38"/>
      <selection pane="topRight" activeCell="E38" sqref="E38"/>
      <selection pane="bottomLeft" activeCell="E38" sqref="E38"/>
      <selection pane="bottomRight" activeCell="A12" sqref="A12:D12"/>
    </sheetView>
  </sheetViews>
  <sheetFormatPr defaultColWidth="9.140625" defaultRowHeight="15.75"/>
  <cols>
    <col min="1" max="1" width="4.140625" style="8" customWidth="1"/>
    <col min="2" max="2" width="51.7109375" style="8" customWidth="1"/>
    <col min="3" max="3" width="8.7109375" style="8" customWidth="1"/>
    <col min="4" max="4" width="34.7109375" style="8" customWidth="1"/>
    <col min="5" max="5" width="10.7109375" style="8" customWidth="1"/>
    <col min="6" max="6" width="12.7109375" style="8" customWidth="1"/>
    <col min="7" max="7" width="53.140625" style="19" hidden="1" customWidth="1"/>
    <col min="8" max="8" width="47.42578125" style="19" hidden="1" customWidth="1"/>
    <col min="9" max="9" width="102.85546875" style="1" hidden="1" customWidth="1"/>
    <col min="10" max="10" width="9.140625" style="83"/>
    <col min="11" max="11" width="11.28515625" style="8" customWidth="1"/>
    <col min="12" max="12" width="12.5703125" style="8" hidden="1" customWidth="1"/>
    <col min="13" max="13" width="9.28515625" style="8" hidden="1" customWidth="1"/>
    <col min="14" max="14" width="7.5703125" style="8" hidden="1" customWidth="1"/>
    <col min="15" max="15" width="15" style="8" hidden="1" customWidth="1"/>
    <col min="16" max="17" width="9.28515625" style="8" hidden="1" customWidth="1"/>
    <col min="18" max="18" width="15" style="8" hidden="1" customWidth="1"/>
    <col min="19" max="19" width="13.28515625" style="8" hidden="1" customWidth="1"/>
    <col min="20" max="20" width="13" style="8" bestFit="1" customWidth="1"/>
    <col min="21" max="16384" width="9.140625" style="8"/>
  </cols>
  <sheetData>
    <row r="1" spans="1:11">
      <c r="G1" s="20"/>
      <c r="H1" s="20"/>
    </row>
    <row r="2" spans="1:11">
      <c r="D2" s="23" t="s">
        <v>108</v>
      </c>
      <c r="J2" s="83">
        <v>1</v>
      </c>
    </row>
    <row r="3" spans="1:11">
      <c r="D3" s="23" t="s">
        <v>231</v>
      </c>
      <c r="J3" s="83">
        <v>1</v>
      </c>
    </row>
    <row r="4" spans="1:11">
      <c r="D4" s="23" t="s">
        <v>232</v>
      </c>
      <c r="J4" s="83">
        <v>1</v>
      </c>
    </row>
    <row r="5" spans="1:11">
      <c r="D5" s="23"/>
      <c r="J5" s="83">
        <v>1</v>
      </c>
    </row>
    <row r="6" spans="1:11">
      <c r="D6" s="70" t="s">
        <v>233</v>
      </c>
      <c r="J6" s="83">
        <v>1</v>
      </c>
    </row>
    <row r="7" spans="1:11">
      <c r="D7" s="36" t="s">
        <v>109</v>
      </c>
      <c r="J7" s="83">
        <v>1</v>
      </c>
    </row>
    <row r="8" spans="1:11" s="10" customFormat="1" ht="19.5" thickBot="1">
      <c r="A8" s="381" t="s">
        <v>110</v>
      </c>
      <c r="B8" s="381"/>
      <c r="C8" s="381"/>
      <c r="D8" s="381"/>
      <c r="F8" s="60"/>
      <c r="G8" s="19"/>
      <c r="H8" s="19"/>
      <c r="I8" s="2"/>
      <c r="J8" s="83">
        <v>1</v>
      </c>
    </row>
    <row r="9" spans="1:11" s="3" customFormat="1" ht="17.25" thickTop="1" thickBot="1">
      <c r="A9" s="376" t="e">
        <f>CONCATENATE("Предмет государственного контракта: ",VLOOKUP($F$9,таблица,9,0))</f>
        <v>#N/A</v>
      </c>
      <c r="B9" s="376"/>
      <c r="C9" s="376"/>
      <c r="D9" s="376"/>
      <c r="E9" s="11"/>
      <c r="F9" s="120">
        <v>167</v>
      </c>
      <c r="G9" s="37"/>
      <c r="H9" s="37"/>
      <c r="I9" s="78" t="e">
        <f>A9</f>
        <v>#N/A</v>
      </c>
      <c r="J9" s="83">
        <v>1</v>
      </c>
    </row>
    <row r="10" spans="1:11" s="27" customFormat="1" ht="9.9499999999999993" customHeight="1" thickTop="1">
      <c r="A10" s="25"/>
      <c r="B10" s="25"/>
      <c r="C10" s="25"/>
      <c r="D10" s="25"/>
      <c r="E10" s="26"/>
      <c r="G10" s="38"/>
      <c r="H10" s="38"/>
      <c r="I10" s="28"/>
      <c r="J10" s="83">
        <v>1</v>
      </c>
    </row>
    <row r="11" spans="1:11" s="3" customFormat="1">
      <c r="A11" s="57" t="str">
        <f ca="1">CONCATENATE("Дата подготовки обоснования начальной (максимальной) цены контракта: ",TEXT(TODAY(),"ДД.ММ.ГГГГ")," г")</f>
        <v>Дата подготовки обоснования начальной (максимальной) цены контракта: 29.08.2018 г</v>
      </c>
      <c r="B11" s="22"/>
      <c r="C11" s="22"/>
      <c r="D11" s="22"/>
      <c r="E11" s="21"/>
      <c r="G11" s="37"/>
      <c r="H11" s="37"/>
      <c r="I11" s="5"/>
      <c r="J11" s="83">
        <v>1</v>
      </c>
    </row>
    <row r="12" spans="1:11" s="3" customFormat="1">
      <c r="A12" s="376" t="str">
        <f>CONCATENATE("Используемый метод определения начальной (максимальной) цены контракта: ",'Анализ стоимости'!C4)</f>
        <v>Используемый метод определения начальной (максимальной) цены контракта: Проектно-сметный метод</v>
      </c>
      <c r="B12" s="376"/>
      <c r="C12" s="376"/>
      <c r="D12" s="376"/>
      <c r="E12" s="21"/>
      <c r="G12" s="37"/>
      <c r="H12" s="37"/>
      <c r="I12" s="78" t="str">
        <f>A12</f>
        <v>Используемый метод определения начальной (максимальной) цены контракта: Проектно-сметный метод</v>
      </c>
      <c r="J12" s="83">
        <v>1</v>
      </c>
    </row>
    <row r="13" spans="1:11" s="3" customFormat="1">
      <c r="A13" s="376" t="e">
        <f>VLOOKUP((VLOOKUP($F$9,таблица,8,0)),рем_содер,5,0)</f>
        <v>#N/A</v>
      </c>
      <c r="B13" s="376"/>
      <c r="C13" s="376"/>
      <c r="D13" s="376"/>
      <c r="E13" s="21"/>
      <c r="G13" s="37"/>
      <c r="H13" s="37"/>
      <c r="I13" s="78" t="e">
        <f>A13</f>
        <v>#N/A</v>
      </c>
      <c r="J13" s="83">
        <v>1</v>
      </c>
    </row>
    <row r="14" spans="1:11" s="27" customFormat="1" ht="9.9499999999999993" customHeight="1">
      <c r="A14" s="30"/>
      <c r="B14" s="25"/>
      <c r="C14" s="25"/>
      <c r="D14" s="25"/>
      <c r="E14" s="26"/>
      <c r="G14" s="38"/>
      <c r="H14" s="38"/>
      <c r="I14" s="28"/>
      <c r="J14" s="83">
        <v>1</v>
      </c>
    </row>
    <row r="15" spans="1:11" s="3" customFormat="1">
      <c r="A15" s="29" t="s">
        <v>111</v>
      </c>
      <c r="B15" s="22"/>
      <c r="C15" s="22"/>
      <c r="D15" s="22"/>
      <c r="E15" s="21"/>
      <c r="G15" s="37"/>
      <c r="H15" s="37"/>
      <c r="I15" s="5"/>
      <c r="J15" s="83">
        <v>1</v>
      </c>
    </row>
    <row r="16" spans="1:11">
      <c r="A16" s="383" t="s">
        <v>112</v>
      </c>
      <c r="B16" s="383"/>
      <c r="C16" s="383"/>
      <c r="D16" s="383"/>
      <c r="I16" s="2"/>
      <c r="J16" s="83">
        <v>1</v>
      </c>
      <c r="K16" s="3"/>
    </row>
    <row r="17" spans="1:19" s="7" customFormat="1" ht="31.5">
      <c r="A17" s="31" t="s">
        <v>67</v>
      </c>
      <c r="B17" s="31" t="s">
        <v>98</v>
      </c>
      <c r="C17" s="377" t="e">
        <f>CONCATENATE("Стоимость  согласно сметной документации (руб.) в текущих ценах по состоянию на ",VLOOKUP($F$9,таблица,5,0)," г.")</f>
        <v>#N/A</v>
      </c>
      <c r="D17" s="378"/>
      <c r="F17" s="8"/>
      <c r="G17" s="19"/>
      <c r="H17" s="79" t="e">
        <f>C17</f>
        <v>#N/A</v>
      </c>
      <c r="I17" s="2"/>
      <c r="J17" s="83">
        <v>1</v>
      </c>
      <c r="K17" s="4"/>
    </row>
    <row r="18" spans="1:19" s="7" customFormat="1">
      <c r="A18" s="33">
        <v>1</v>
      </c>
      <c r="B18" s="32" t="s">
        <v>46</v>
      </c>
      <c r="C18" s="379" t="e">
        <f>VLOOKUP($F$9,таблица,10,0)</f>
        <v>#N/A</v>
      </c>
      <c r="D18" s="380"/>
      <c r="F18" s="8"/>
      <c r="G18" s="19"/>
      <c r="H18" s="19"/>
      <c r="I18" s="2"/>
      <c r="J18" s="83">
        <v>1</v>
      </c>
      <c r="K18" s="4"/>
    </row>
    <row r="19" spans="1:19" s="7" customFormat="1">
      <c r="A19" s="33">
        <v>2</v>
      </c>
      <c r="B19" s="32" t="s">
        <v>41</v>
      </c>
      <c r="C19" s="379" t="e">
        <f>VLOOKUP($F$9,таблица,11,0)</f>
        <v>#N/A</v>
      </c>
      <c r="D19" s="380"/>
      <c r="F19" s="8"/>
      <c r="G19" s="19"/>
      <c r="H19" s="19"/>
      <c r="I19" s="2"/>
      <c r="J19" s="83">
        <v>1</v>
      </c>
      <c r="K19" s="4"/>
    </row>
    <row r="20" spans="1:19" s="7" customFormat="1" ht="31.5">
      <c r="A20" s="33">
        <v>3</v>
      </c>
      <c r="B20" s="32" t="s">
        <v>3</v>
      </c>
      <c r="C20" s="379" t="e">
        <f>VLOOKUP($F$9,таблица,12,0)</f>
        <v>#N/A</v>
      </c>
      <c r="D20" s="380"/>
      <c r="F20" s="8"/>
      <c r="G20" s="19"/>
      <c r="H20" s="19"/>
      <c r="I20" s="2"/>
      <c r="J20" s="83">
        <v>1</v>
      </c>
    </row>
    <row r="21" spans="1:19" s="7" customFormat="1">
      <c r="A21" s="33">
        <v>4</v>
      </c>
      <c r="B21" s="32" t="s">
        <v>42</v>
      </c>
      <c r="C21" s="379" t="e">
        <f>VLOOKUP($F$9,таблица,13,0)</f>
        <v>#N/A</v>
      </c>
      <c r="D21" s="380"/>
      <c r="F21" s="8"/>
      <c r="G21" s="19"/>
      <c r="H21" s="19"/>
      <c r="I21" s="2"/>
      <c r="J21" s="83">
        <v>1</v>
      </c>
    </row>
    <row r="22" spans="1:19" s="7" customFormat="1">
      <c r="A22" s="33">
        <v>5</v>
      </c>
      <c r="B22" s="32" t="s">
        <v>5</v>
      </c>
      <c r="C22" s="379" t="e">
        <f>VLOOKUP($F$9,таблица,14,0)</f>
        <v>#N/A</v>
      </c>
      <c r="D22" s="380"/>
      <c r="F22" s="8"/>
      <c r="G22" s="19"/>
      <c r="H22" s="19"/>
      <c r="I22" s="2"/>
      <c r="J22" s="83">
        <v>1</v>
      </c>
    </row>
    <row r="23" spans="1:19" s="7" customFormat="1">
      <c r="A23" s="33">
        <v>6</v>
      </c>
      <c r="B23" s="32" t="s">
        <v>12</v>
      </c>
      <c r="C23" s="379" t="e">
        <f>VLOOKUP($F$9,таблица,18,0)</f>
        <v>#N/A</v>
      </c>
      <c r="D23" s="380"/>
      <c r="F23" s="8"/>
      <c r="G23" s="19"/>
      <c r="H23" s="19"/>
      <c r="I23" s="2"/>
      <c r="J23" s="83">
        <v>1</v>
      </c>
    </row>
    <row r="24" spans="1:19" s="7" customFormat="1">
      <c r="A24" s="33">
        <v>7</v>
      </c>
      <c r="B24" s="32" t="s">
        <v>88</v>
      </c>
      <c r="C24" s="379" t="e">
        <f>VLOOKUP($F$9,таблица,19,0)+VLOOKUP($F$9,таблица,21,0)+VLOOKUP($F$9,таблица,22,0)+VLOOKUP($F$9,таблица,23,0)+VLOOKUP($F$9,таблица,24,0)+VLOOKUP($F$9,таблица,25,0)+VLOOKUP($F$9,таблица,26,0)</f>
        <v>#N/A</v>
      </c>
      <c r="D24" s="380"/>
      <c r="F24" s="8"/>
      <c r="G24" s="19"/>
      <c r="H24" s="19"/>
      <c r="I24" s="2"/>
      <c r="J24" s="83">
        <v>1</v>
      </c>
      <c r="L24" s="71"/>
    </row>
    <row r="25" spans="1:19" s="7" customFormat="1">
      <c r="A25" s="33">
        <v>8</v>
      </c>
      <c r="B25" s="32" t="s">
        <v>62</v>
      </c>
      <c r="C25" s="379" t="e">
        <f>VLOOKUP($F$9,таблица,31,0)</f>
        <v>#N/A</v>
      </c>
      <c r="D25" s="380"/>
      <c r="F25" s="8"/>
      <c r="G25" s="19"/>
      <c r="H25" s="19"/>
      <c r="I25" s="2"/>
      <c r="J25" s="83">
        <v>1</v>
      </c>
    </row>
    <row r="26" spans="1:19" s="7" customFormat="1">
      <c r="A26" s="33">
        <v>9</v>
      </c>
      <c r="B26" s="32" t="s">
        <v>127</v>
      </c>
      <c r="C26" s="379" t="e">
        <f>SUM(C18:D25)</f>
        <v>#N/A</v>
      </c>
      <c r="D26" s="380"/>
      <c r="F26" s="56" t="e">
        <f>VLOOKUP($F$9,таблица,36,0)</f>
        <v>#N/A</v>
      </c>
      <c r="G26" s="19"/>
      <c r="H26" s="19"/>
      <c r="I26" s="2"/>
      <c r="J26" s="83">
        <v>1</v>
      </c>
    </row>
    <row r="27" spans="1:19">
      <c r="A27" s="384" t="s">
        <v>122</v>
      </c>
      <c r="B27" s="384"/>
      <c r="C27" s="384"/>
      <c r="D27" s="384"/>
      <c r="J27" s="83">
        <v>1</v>
      </c>
    </row>
    <row r="28" spans="1:19" ht="31.5">
      <c r="A28" s="35" t="s">
        <v>67</v>
      </c>
      <c r="B28" s="31" t="s">
        <v>21</v>
      </c>
      <c r="C28" s="31" t="s">
        <v>114</v>
      </c>
      <c r="D28" s="31" t="s">
        <v>99</v>
      </c>
      <c r="J28" s="83">
        <v>1</v>
      </c>
    </row>
    <row r="29" spans="1:19" s="7" customFormat="1">
      <c r="A29" s="33">
        <v>10</v>
      </c>
      <c r="B29" s="33" t="e">
        <f>VLOOKUP((VLOOKUP($F$9,таблица,8,0)),рем_содер,2,0)</f>
        <v>#N/A</v>
      </c>
      <c r="C29" s="33"/>
      <c r="D29" s="32"/>
      <c r="F29" s="8"/>
      <c r="G29" s="19"/>
      <c r="H29" s="19"/>
      <c r="I29" s="2"/>
      <c r="J29" s="83">
        <v>1</v>
      </c>
    </row>
    <row r="30" spans="1:19" s="7" customFormat="1">
      <c r="A30" s="33" t="e">
        <f>IF(D30=0,0,A29+1)</f>
        <v>#N/A</v>
      </c>
      <c r="B30" s="32" t="e">
        <f>CONCATENATE('Анализ стоимости'!$AW$1," г (",CHOOSE(VLOOKUP(F$9,таблица,43,0),"Январь","Февраль","Март","Апрель","Май","Июнь","Июль","Август","Сентябрь","Октябрь","Ноябрь","Декабрь")," - ",CHOOSE(VLOOKUP(F$9,таблица,44,0),"Январь","Февраль","Март","Апрель","Май","Июнь","Июль","Август","Сентябрь","Октябрь","Ноябрь","Декабрь"),")")</f>
        <v>#N/A</v>
      </c>
      <c r="C30" s="33" t="s">
        <v>115</v>
      </c>
      <c r="D30" s="55" t="e">
        <f>IF(D32=0,0,VLOOKUP($F$9,таблица,49,0)*100+100)</f>
        <v>#N/A</v>
      </c>
      <c r="F30" s="8"/>
      <c r="G30" s="19"/>
      <c r="H30" s="19"/>
      <c r="I30" s="2"/>
      <c r="J30" s="83" t="e">
        <f>IF(D30=0,"",1)</f>
        <v>#N/A</v>
      </c>
    </row>
    <row r="31" spans="1:19" s="7" customFormat="1">
      <c r="A31" s="33" t="e">
        <f>IF(D31=0,0,IF(D30=0,A29+1,A30+1))</f>
        <v>#N/A</v>
      </c>
      <c r="B31" s="32" t="e">
        <f>CONCATENATE('Анализ стоимости'!$AX$1," г (",CHOOSE(VLOOKUP(F$9,таблица,45,0),"Январь","Февраль","Март","Апрель","Май","Июнь","Июль","Август","Сентябрь","Октябрь","Ноябрь","Декабрь")," - ",CHOOSE(VLOOKUP(F$9,таблица,46,0),"Январь","Февраль","Март","Апрель","Май","Июнь","Июль","Август","Сентябрь","Октябрь","Ноябрь","Декабрь"),")")</f>
        <v>#N/A</v>
      </c>
      <c r="C31" s="33" t="s">
        <v>115</v>
      </c>
      <c r="D31" s="55" t="e">
        <f>IF(D33=0,0,VLOOKUP($F$9,таблица,50,0)*100+100)</f>
        <v>#N/A</v>
      </c>
      <c r="F31" s="12"/>
      <c r="G31" s="39"/>
      <c r="H31" s="39"/>
      <c r="I31" s="2"/>
      <c r="J31" s="83" t="e">
        <f>IF(D31=0,"",1)</f>
        <v>#N/A</v>
      </c>
    </row>
    <row r="32" spans="1:19" s="7" customFormat="1">
      <c r="A32" s="33" t="e">
        <f>IF(D32=0,0,IF(D31=0,A30+1,A31+1))</f>
        <v>#N/A</v>
      </c>
      <c r="B32" s="32" t="str">
        <f>"Рост стоимости "&amp;'Анализ стоимости'!$AW$1&amp;" г."</f>
        <v>Рост стоимости 2018 г.</v>
      </c>
      <c r="C32" s="33" t="s">
        <v>116</v>
      </c>
      <c r="D32" s="34" t="e">
        <f>VLOOKUP($F$9,таблица,38,0)</f>
        <v>#N/A</v>
      </c>
      <c r="F32" s="8"/>
      <c r="G32" s="19"/>
      <c r="H32" s="19"/>
      <c r="I32" s="2"/>
      <c r="J32" s="83" t="e">
        <f t="shared" ref="J32:J33" si="0">IF(D32=0,"",1)</f>
        <v>#N/A</v>
      </c>
      <c r="L32" s="72" t="e">
        <f>$D$37/$D$41</f>
        <v>#N/A</v>
      </c>
      <c r="M32" s="7" t="e">
        <f t="shared" ref="M32:M41" si="1">ROUND($O32*$D$41,0)=$D$37</f>
        <v>#N/A</v>
      </c>
      <c r="N32" s="7" t="e">
        <f t="shared" ref="N32:N38" si="2">CONCATENATE(M32,S32)</f>
        <v>#N/A</v>
      </c>
      <c r="O32" s="73" t="e">
        <f>ROUND($L$32,1)</f>
        <v>#N/A</v>
      </c>
      <c r="P32" s="7" t="e">
        <f>ROUND($R32*$D$41,0)=$D$40</f>
        <v>#N/A</v>
      </c>
      <c r="Q32" s="7" t="e">
        <f t="shared" ref="Q32:Q38" si="3">CONCATENATE(P32,S31)</f>
        <v>#N/A</v>
      </c>
      <c r="R32" s="73" t="e">
        <f>ROUND($L$33,1)</f>
        <v>#N/A</v>
      </c>
      <c r="S32" s="7" t="e">
        <f>M32=P32</f>
        <v>#N/A</v>
      </c>
    </row>
    <row r="33" spans="1:19" s="7" customFormat="1">
      <c r="A33" s="33" t="e">
        <f>IF(D33=0,0,IF(D32=0,A31+1,A32+1))</f>
        <v>#N/A</v>
      </c>
      <c r="B33" s="32" t="str">
        <f>"Рост стоимости "&amp;'Анализ стоимости'!$AX$1&amp;" г."</f>
        <v>Рост стоимости 2019 г.</v>
      </c>
      <c r="C33" s="33" t="s">
        <v>116</v>
      </c>
      <c r="D33" s="34" t="e">
        <f>VLOOKUP($F$9,таблица,40,0)</f>
        <v>#N/A</v>
      </c>
      <c r="F33" s="8"/>
      <c r="G33" s="19"/>
      <c r="H33" s="19"/>
      <c r="I33" s="2"/>
      <c r="J33" s="83" t="e">
        <f t="shared" si="0"/>
        <v>#N/A</v>
      </c>
      <c r="L33" s="72" t="e">
        <f>$D$40/$D$41</f>
        <v>#N/A</v>
      </c>
      <c r="M33" s="7" t="e">
        <f t="shared" si="1"/>
        <v>#N/A</v>
      </c>
      <c r="N33" s="7" t="e">
        <f t="shared" si="2"/>
        <v>#N/A</v>
      </c>
      <c r="O33" s="73" t="e">
        <f>ROUND($L$32,2)</f>
        <v>#N/A</v>
      </c>
      <c r="P33" s="7" t="e">
        <f t="shared" ref="P33:P43" si="4">ROUND($R33*$D$41,0)=$D$40</f>
        <v>#N/A</v>
      </c>
      <c r="Q33" s="7" t="e">
        <f t="shared" si="3"/>
        <v>#N/A</v>
      </c>
      <c r="R33" s="73" t="e">
        <f>ROUND($L$33,2)</f>
        <v>#N/A</v>
      </c>
      <c r="S33" s="7" t="e">
        <f t="shared" ref="S33:S43" si="5">M33=P33</f>
        <v>#N/A</v>
      </c>
    </row>
    <row r="34" spans="1:19">
      <c r="A34" s="384" t="s">
        <v>117</v>
      </c>
      <c r="B34" s="384"/>
      <c r="C34" s="384"/>
      <c r="D34" s="384"/>
      <c r="J34" s="83">
        <v>1</v>
      </c>
      <c r="L34" s="7"/>
      <c r="M34" s="7" t="e">
        <f t="shared" si="1"/>
        <v>#N/A</v>
      </c>
      <c r="N34" s="7" t="e">
        <f t="shared" si="2"/>
        <v>#N/A</v>
      </c>
      <c r="O34" s="73" t="e">
        <f>ROUND($L$32,3)</f>
        <v>#N/A</v>
      </c>
      <c r="P34" s="7" t="e">
        <f t="shared" si="4"/>
        <v>#N/A</v>
      </c>
      <c r="Q34" s="7" t="e">
        <f t="shared" si="3"/>
        <v>#N/A</v>
      </c>
      <c r="R34" s="73" t="e">
        <f>ROUND($L$33,3)</f>
        <v>#N/A</v>
      </c>
      <c r="S34" s="7" t="e">
        <f t="shared" si="5"/>
        <v>#N/A</v>
      </c>
    </row>
    <row r="35" spans="1:19" s="7" customFormat="1" ht="31.5">
      <c r="A35" s="33" t="e">
        <f>IF(D35=0,0,IF(D33=0,IF(D32=0,A29+1,A32+1),A33+1))</f>
        <v>#N/A</v>
      </c>
      <c r="B3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35" s="33" t="s">
        <v>116</v>
      </c>
      <c r="D35" s="34" t="e">
        <f>SUM(VLOOKUP($F$9,таблица,37,0),D32)</f>
        <v>#N/A</v>
      </c>
      <c r="F35" s="8"/>
      <c r="G35" s="19"/>
      <c r="H35" s="19"/>
      <c r="I35" s="2"/>
      <c r="J35" s="83" t="e">
        <f t="shared" ref="J35:J40" si="6">IF(D35=0,"",1)</f>
        <v>#N/A</v>
      </c>
      <c r="M35" s="7" t="e">
        <f t="shared" si="1"/>
        <v>#N/A</v>
      </c>
      <c r="N35" s="7" t="e">
        <f t="shared" si="2"/>
        <v>#N/A</v>
      </c>
      <c r="O35" s="73" t="e">
        <f>ROUND($L$32,4)</f>
        <v>#N/A</v>
      </c>
      <c r="P35" s="7" t="e">
        <f t="shared" si="4"/>
        <v>#N/A</v>
      </c>
      <c r="Q35" s="7" t="e">
        <f t="shared" si="3"/>
        <v>#N/A</v>
      </c>
      <c r="R35" s="73" t="e">
        <f>ROUND($L$33,4)</f>
        <v>#N/A</v>
      </c>
      <c r="S35" s="7" t="e">
        <f t="shared" si="5"/>
        <v>#N/A</v>
      </c>
    </row>
    <row r="36" spans="1:19" s="7" customFormat="1">
      <c r="A36" s="33" t="e">
        <f>IF(D36=0,0,A35+1)</f>
        <v>#N/A</v>
      </c>
      <c r="B36" s="45" t="s">
        <v>119</v>
      </c>
      <c r="C36" s="33" t="s">
        <v>116</v>
      </c>
      <c r="D36" s="34" t="e">
        <f>VLOOKUP($F$9,таблица,39,0)</f>
        <v>#N/A</v>
      </c>
      <c r="E36" s="18"/>
      <c r="F36" s="8"/>
      <c r="G36" s="19"/>
      <c r="H36" s="40"/>
      <c r="I36" s="2"/>
      <c r="J36" s="83" t="e">
        <f t="shared" si="6"/>
        <v>#N/A</v>
      </c>
      <c r="M36" s="7" t="e">
        <f t="shared" si="1"/>
        <v>#N/A</v>
      </c>
      <c r="N36" s="7" t="e">
        <f t="shared" si="2"/>
        <v>#N/A</v>
      </c>
      <c r="O36" s="73" t="e">
        <f>ROUND($L$32,5)</f>
        <v>#N/A</v>
      </c>
      <c r="P36" s="7" t="e">
        <f t="shared" si="4"/>
        <v>#N/A</v>
      </c>
      <c r="Q36" s="7" t="e">
        <f t="shared" si="3"/>
        <v>#N/A</v>
      </c>
      <c r="R36" s="73" t="e">
        <f>ROUND($L$33,5)</f>
        <v>#N/A</v>
      </c>
      <c r="S36" s="7" t="e">
        <f t="shared" si="5"/>
        <v>#N/A</v>
      </c>
    </row>
    <row r="37" spans="1:19" s="7" customFormat="1">
      <c r="A37" s="33" t="e">
        <f>IF(D37=0,0,A36+1)</f>
        <v>#N/A</v>
      </c>
      <c r="B37" s="45" t="str">
        <f>"Всего с НДС на "&amp;'Анализ стоимости'!$AW$1&amp;" г."</f>
        <v>Всего с НДС на 2018 г.</v>
      </c>
      <c r="C37" s="33" t="s">
        <v>116</v>
      </c>
      <c r="D37" s="46" t="e">
        <f>SUM(D35:D36)</f>
        <v>#N/A</v>
      </c>
      <c r="E37" s="80" t="e">
        <f>IF(D33=0,0,VLOOKUP("ИСТИНАИСТИНА",N32:O43,2,0))</f>
        <v>#N/A</v>
      </c>
      <c r="F37" s="56" t="e">
        <f>VLOOKUP($F$9,таблица,51,0)</f>
        <v>#N/A</v>
      </c>
      <c r="G37" s="19"/>
      <c r="H37" s="40"/>
      <c r="I37" s="2"/>
      <c r="J37" s="83" t="e">
        <f t="shared" si="6"/>
        <v>#N/A</v>
      </c>
      <c r="L37" s="3"/>
      <c r="M37" s="7" t="e">
        <f t="shared" si="1"/>
        <v>#N/A</v>
      </c>
      <c r="N37" s="7" t="e">
        <f t="shared" si="2"/>
        <v>#N/A</v>
      </c>
      <c r="O37" s="73" t="e">
        <f>ROUND($L$32,6)</f>
        <v>#N/A</v>
      </c>
      <c r="P37" s="7" t="e">
        <f t="shared" si="4"/>
        <v>#N/A</v>
      </c>
      <c r="Q37" s="7" t="e">
        <f t="shared" si="3"/>
        <v>#N/A</v>
      </c>
      <c r="R37" s="73" t="e">
        <f>ROUND($L$33,6)</f>
        <v>#N/A</v>
      </c>
      <c r="S37" s="7" t="e">
        <f t="shared" si="5"/>
        <v>#N/A</v>
      </c>
    </row>
    <row r="38" spans="1:19" s="7" customFormat="1" ht="31.5">
      <c r="A38" s="33" t="e">
        <f>IF(D38=0,0,IF(D37=0,IF(D33=0,A29+1,A33+1),A37+1))</f>
        <v>#N/A</v>
      </c>
      <c r="B3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38" s="33" t="s">
        <v>116</v>
      </c>
      <c r="D38" s="34" t="e">
        <f>VLOOKUP($F$9,таблица,36,0)-VLOOKUP($F$9,таблица,37,0)+D33</f>
        <v>#N/A</v>
      </c>
      <c r="E38" s="81"/>
      <c r="F38" s="8"/>
      <c r="G38" s="19"/>
      <c r="H38" s="40"/>
      <c r="I38" s="2"/>
      <c r="J38" s="83" t="e">
        <f t="shared" si="6"/>
        <v>#N/A</v>
      </c>
      <c r="L38" s="9"/>
      <c r="M38" s="7" t="e">
        <f t="shared" si="1"/>
        <v>#N/A</v>
      </c>
      <c r="N38" s="7" t="e">
        <f t="shared" si="2"/>
        <v>#N/A</v>
      </c>
      <c r="O38" s="73" t="e">
        <f>ROUND($L$32,7)</f>
        <v>#N/A</v>
      </c>
      <c r="P38" s="7" t="e">
        <f t="shared" si="4"/>
        <v>#N/A</v>
      </c>
      <c r="Q38" s="7" t="e">
        <f t="shared" si="3"/>
        <v>#N/A</v>
      </c>
      <c r="R38" s="73" t="e">
        <f>ROUND($L$33,7)</f>
        <v>#N/A</v>
      </c>
      <c r="S38" s="7" t="e">
        <f t="shared" si="5"/>
        <v>#N/A</v>
      </c>
    </row>
    <row r="39" spans="1:19" s="7" customFormat="1">
      <c r="A39" s="33" t="e">
        <f>IF(D39=0,0,A38+1)</f>
        <v>#N/A</v>
      </c>
      <c r="B39" s="45" t="s">
        <v>119</v>
      </c>
      <c r="C39" s="33" t="s">
        <v>116</v>
      </c>
      <c r="D39" s="34" t="e">
        <f>VLOOKUP($F$9,таблица,41,0)</f>
        <v>#N/A</v>
      </c>
      <c r="E39" s="81"/>
      <c r="F39" s="8"/>
      <c r="G39" s="19"/>
      <c r="H39" s="40"/>
      <c r="I39" s="2"/>
      <c r="J39" s="83" t="e">
        <f t="shared" si="6"/>
        <v>#N/A</v>
      </c>
      <c r="L39" s="52"/>
      <c r="M39" s="7" t="e">
        <f t="shared" si="1"/>
        <v>#N/A</v>
      </c>
      <c r="N39" s="7" t="e">
        <f>CONCATENATE(M39,S39)</f>
        <v>#N/A</v>
      </c>
      <c r="O39" s="73" t="e">
        <f>ROUND($L$32,8)</f>
        <v>#N/A</v>
      </c>
      <c r="P39" s="7" t="e">
        <f t="shared" si="4"/>
        <v>#N/A</v>
      </c>
      <c r="Q39" s="7" t="e">
        <f>CONCATENATE(P39,S38)</f>
        <v>#N/A</v>
      </c>
      <c r="R39" s="73" t="e">
        <f>ROUND($L$33,8)</f>
        <v>#N/A</v>
      </c>
      <c r="S39" s="7" t="e">
        <f t="shared" si="5"/>
        <v>#N/A</v>
      </c>
    </row>
    <row r="40" spans="1:19" s="7" customFormat="1">
      <c r="A40" s="33" t="e">
        <f>IF(D40=0,0,A39+1)</f>
        <v>#N/A</v>
      </c>
      <c r="B40" s="45" t="str">
        <f>"Всего с НДС на "&amp;'Анализ стоимости'!$AX$1&amp;" г."</f>
        <v>Всего с НДС на 2019 г.</v>
      </c>
      <c r="C40" s="33" t="s">
        <v>116</v>
      </c>
      <c r="D40" s="46" t="e">
        <f>SUM(D38:D39)</f>
        <v>#N/A</v>
      </c>
      <c r="E40" s="80" t="e">
        <f>IF(D33=0,0,VLOOKUP("ИСТИНАИСТИНА",Q32:R43,2,0))</f>
        <v>#N/A</v>
      </c>
      <c r="F40" s="56" t="e">
        <f>VLOOKUP($F$9,таблица,52,0)</f>
        <v>#N/A</v>
      </c>
      <c r="G40" s="19"/>
      <c r="H40" s="41"/>
      <c r="I40" s="2"/>
      <c r="J40" s="83" t="e">
        <f t="shared" si="6"/>
        <v>#N/A</v>
      </c>
      <c r="L40" s="3"/>
      <c r="M40" s="7" t="e">
        <f t="shared" si="1"/>
        <v>#N/A</v>
      </c>
      <c r="N40" s="7" t="e">
        <f t="shared" ref="N40:N43" si="7">CONCATENATE(M40,S40)</f>
        <v>#N/A</v>
      </c>
      <c r="O40" s="76" t="e">
        <f>ROUND($L$32,9)</f>
        <v>#N/A</v>
      </c>
      <c r="P40" s="7" t="e">
        <f t="shared" si="4"/>
        <v>#N/A</v>
      </c>
      <c r="Q40" s="7" t="e">
        <f t="shared" ref="Q40:Q43" si="8">CONCATENATE(P40,S39)</f>
        <v>#N/A</v>
      </c>
      <c r="R40" s="73" t="e">
        <f>ROUND($L$33,9)</f>
        <v>#N/A</v>
      </c>
      <c r="S40" s="7" t="e">
        <f t="shared" si="5"/>
        <v>#N/A</v>
      </c>
    </row>
    <row r="41" spans="1:19" s="7" customFormat="1">
      <c r="A41" s="33" t="e">
        <f>IF(D41=0,0,A40+1)</f>
        <v>#N/A</v>
      </c>
      <c r="B41" s="45" t="s">
        <v>118</v>
      </c>
      <c r="C41" s="33" t="s">
        <v>116</v>
      </c>
      <c r="D41" s="46" t="e">
        <f>IF(OR(D37=0,D40=0),0,D40+D37)</f>
        <v>#N/A</v>
      </c>
      <c r="E41" s="82"/>
      <c r="F41" s="56" t="e">
        <f>VLOOKUP($F$9,таблица,42,0)</f>
        <v>#N/A</v>
      </c>
      <c r="G41" s="19"/>
      <c r="H41" s="42"/>
      <c r="I41" s="1"/>
      <c r="J41" s="83" t="e">
        <f>IF(D41=0,"",1)</f>
        <v>#N/A</v>
      </c>
      <c r="L41" s="3"/>
      <c r="M41" s="7" t="e">
        <f t="shared" si="1"/>
        <v>#N/A</v>
      </c>
      <c r="N41" s="7" t="e">
        <f t="shared" si="7"/>
        <v>#N/A</v>
      </c>
      <c r="O41" s="72" t="e">
        <f>ROUND($L$32,10)</f>
        <v>#N/A</v>
      </c>
      <c r="P41" s="7" t="e">
        <f t="shared" si="4"/>
        <v>#N/A</v>
      </c>
      <c r="Q41" s="7" t="e">
        <f t="shared" si="8"/>
        <v>#N/A</v>
      </c>
      <c r="R41" s="72" t="e">
        <f>ROUND($L$33,10)</f>
        <v>#N/A</v>
      </c>
      <c r="S41" s="7" t="e">
        <f t="shared" si="5"/>
        <v>#N/A</v>
      </c>
    </row>
    <row r="42" spans="1:19" s="3" customFormat="1">
      <c r="A42" s="13"/>
      <c r="B42" s="13"/>
      <c r="C42" s="13"/>
      <c r="D42" s="14"/>
      <c r="F42" s="8"/>
      <c r="G42" s="19"/>
      <c r="H42" s="42"/>
      <c r="I42" s="1"/>
      <c r="J42" s="83">
        <v>1</v>
      </c>
      <c r="M42" s="7" t="e">
        <f t="shared" ref="M42:M43" si="9">ROUND($O42*$D$41,0)=$D$37</f>
        <v>#N/A</v>
      </c>
      <c r="N42" s="7" t="e">
        <f t="shared" si="7"/>
        <v>#N/A</v>
      </c>
      <c r="O42" s="75" t="e">
        <f>ROUND($L$32,11)</f>
        <v>#N/A</v>
      </c>
      <c r="P42" s="7" t="e">
        <f t="shared" si="4"/>
        <v>#N/A</v>
      </c>
      <c r="Q42" s="7" t="e">
        <f t="shared" si="8"/>
        <v>#N/A</v>
      </c>
      <c r="R42" s="75" t="e">
        <f>ROUND($L$33,11)</f>
        <v>#N/A</v>
      </c>
      <c r="S42" s="7" t="e">
        <f t="shared" si="5"/>
        <v>#N/A</v>
      </c>
    </row>
    <row r="43" spans="1:19" s="9" customFormat="1" ht="48.75" customHeight="1">
      <c r="A43" s="382" t="s">
        <v>192</v>
      </c>
      <c r="B43" s="382"/>
      <c r="C43" s="47"/>
      <c r="D43" s="48" t="s">
        <v>123</v>
      </c>
      <c r="E43" s="15"/>
      <c r="G43" s="43" t="str">
        <f>A43</f>
        <v>Начальник отдела формирования начальной
максимальной цены контракта управления
контрактной службы</v>
      </c>
      <c r="H43" s="43"/>
      <c r="I43" s="1"/>
      <c r="J43" s="84">
        <v>1</v>
      </c>
      <c r="M43" s="7" t="e">
        <f t="shared" si="9"/>
        <v>#N/A</v>
      </c>
      <c r="N43" s="7" t="e">
        <f t="shared" si="7"/>
        <v>#N/A</v>
      </c>
      <c r="O43" s="77" t="e">
        <f>ROUND($L$32,12)</f>
        <v>#N/A</v>
      </c>
      <c r="P43" s="7" t="e">
        <f t="shared" si="4"/>
        <v>#N/A</v>
      </c>
      <c r="Q43" s="7" t="e">
        <f t="shared" si="8"/>
        <v>#N/A</v>
      </c>
      <c r="R43" s="73" t="e">
        <f>ROUND($L$33,12)</f>
        <v>#N/A</v>
      </c>
      <c r="S43" s="7" t="e">
        <f t="shared" si="5"/>
        <v>#N/A</v>
      </c>
    </row>
    <row r="44" spans="1:19" s="52" customFormat="1" ht="11.25">
      <c r="A44" s="49"/>
      <c r="B44" s="49"/>
      <c r="C44" s="49"/>
      <c r="D44" s="50"/>
      <c r="E44" s="51"/>
      <c r="G44" s="53"/>
      <c r="H44" s="53"/>
      <c r="I44" s="54"/>
      <c r="J44" s="84">
        <v>1</v>
      </c>
    </row>
    <row r="45" spans="1:19" s="3" customFormat="1">
      <c r="A45" s="375"/>
      <c r="B45" s="375"/>
      <c r="E45" s="16"/>
      <c r="G45" s="37"/>
      <c r="H45" s="37"/>
      <c r="I45" s="1"/>
      <c r="J45" s="83">
        <v>1</v>
      </c>
    </row>
    <row r="46" spans="1:19" s="3" customFormat="1">
      <c r="E46" s="16"/>
      <c r="G46" s="37"/>
      <c r="H46" s="37"/>
      <c r="I46" s="1"/>
      <c r="J46" s="83">
        <v>1</v>
      </c>
    </row>
    <row r="49" spans="1:4">
      <c r="A49" s="6"/>
      <c r="B49" s="74"/>
      <c r="C49" s="6"/>
      <c r="D49" s="6"/>
    </row>
    <row r="50" spans="1:4">
      <c r="A50" s="6"/>
      <c r="B50" s="74"/>
      <c r="C50" s="6"/>
      <c r="D50" s="6"/>
    </row>
    <row r="51" spans="1:4">
      <c r="A51" s="6"/>
      <c r="B51" s="6"/>
      <c r="C51" s="6"/>
      <c r="D51" s="6"/>
    </row>
  </sheetData>
  <autoFilter ref="J1:J47"/>
  <customSheetViews>
    <customSheetView guid="{E031E075-6987-4F32-9116-EC6B3E9AF434}" showPageBreaks="1" showGridLines="0" zeroValues="0" fitToPage="1" printArea="1" hiddenColumns="1">
      <selection activeCell="E4" sqref="E4"/>
      <pageMargins left="0.59055118110236227" right="0.19685039370078741" top="0" bottom="0.19685039370078741" header="0.51181102362204722" footer="0.51181102362204722"/>
      <printOptions horizontalCentered="1"/>
      <pageSetup paperSize="9" orientation="portrait" r:id="rId1"/>
      <headerFooter alignWithMargins="0"/>
    </customSheetView>
    <customSheetView guid="{67AC2CBC-2876-4E14-8EE2-582C5F737BC3}" showGridLines="0" zeroValues="0" fitToPage="1" hiddenColumns="1" showRuler="0">
      <selection activeCell="E13" sqref="E13"/>
      <pageMargins left="0.59055118110236227" right="0.19685039370078741" top="0" bottom="0.19685039370078741" header="0.51181102362204722" footer="0.51181102362204722"/>
      <printOptions horizontalCentered="1"/>
      <pageSetup paperSize="9" orientation="portrait" r:id="rId2"/>
      <headerFooter alignWithMargins="0"/>
    </customSheetView>
    <customSheetView guid="{4A5FEB23-9FEA-4E9B-A143-FBC359C68DA8}" showPageBreaks="1" showGridLines="0" zeroValues="0" fitToPage="1" printArea="1" hiddenRows="1" hiddenColumns="1" showRuler="0">
      <selection activeCell="E3" sqref="E3"/>
      <pageMargins left="0.59055118110236227" right="0.19685039370078741" top="0" bottom="0.19685039370078741" header="0.51181102362204722" footer="0.51181102362204722"/>
      <printOptions horizontalCentered="1"/>
      <pageSetup paperSize="9" orientation="portrait" r:id="rId3"/>
      <headerFooter alignWithMargins="0"/>
    </customSheetView>
    <customSheetView guid="{76AC8A47-0222-474F-85DA-9CB477F01022}" showGridLines="0" zeroValues="0" fitToPage="1" hiddenColumns="1">
      <selection activeCell="E4" sqref="E4"/>
      <pageMargins left="0.59055118110236227" right="0.19685039370078741" top="0" bottom="0.19685039370078741" header="0.51181102362204722" footer="0.51181102362204722"/>
      <printOptions horizontalCentered="1"/>
      <pageSetup paperSize="9" orientation="portrait" r:id="rId4"/>
      <headerFooter alignWithMargins="0"/>
    </customSheetView>
  </customSheetViews>
  <mergeCells count="19">
    <mergeCell ref="A8:D8"/>
    <mergeCell ref="A9:D9"/>
    <mergeCell ref="A43:B43"/>
    <mergeCell ref="A16:D16"/>
    <mergeCell ref="A27:D27"/>
    <mergeCell ref="A34:D34"/>
    <mergeCell ref="A45:B45"/>
    <mergeCell ref="A12:D12"/>
    <mergeCell ref="A13:D13"/>
    <mergeCell ref="C17:D17"/>
    <mergeCell ref="C26:D26"/>
    <mergeCell ref="C25:D25"/>
    <mergeCell ref="C24:D24"/>
    <mergeCell ref="C23:D23"/>
    <mergeCell ref="C22:D22"/>
    <mergeCell ref="C21:D21"/>
    <mergeCell ref="C20:D20"/>
    <mergeCell ref="C19:D19"/>
    <mergeCell ref="C18:D18"/>
  </mergeCells>
  <phoneticPr fontId="0" type="noConversion"/>
  <conditionalFormatting sqref="F37">
    <cfRule type="cellIs" dxfId="151" priority="5" operator="notEqual">
      <formula>D37</formula>
    </cfRule>
  </conditionalFormatting>
  <conditionalFormatting sqref="F41">
    <cfRule type="cellIs" dxfId="150" priority="3" operator="notEqual">
      <formula>D40+D37</formula>
    </cfRule>
  </conditionalFormatting>
  <conditionalFormatting sqref="F40">
    <cfRule type="cellIs" dxfId="149" priority="2" operator="notEqual">
      <formula>D40</formula>
    </cfRule>
  </conditionalFormatting>
  <conditionalFormatting sqref="F26">
    <cfRule type="cellIs" dxfId="148" priority="1" operator="notEqual">
      <formula>C26</formula>
    </cfRule>
  </conditionalFormatting>
  <printOptions horizontalCentered="1"/>
  <pageMargins left="0.59055118110236227" right="0.19685039370078741" top="0" bottom="0.19685039370078741" header="0.51181102362204722" footer="0.51181102362204722"/>
  <pageSetup paperSize="9" scale="95" orientation="portrait" r:id="rId5"/>
  <headerFooter alignWithMargins="0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0" filterMode="1">
    <tabColor theme="3" tint="0.79998168889431442"/>
    <pageSetUpPr fitToPage="1"/>
  </sheetPr>
  <dimension ref="A1:BQ1673"/>
  <sheetViews>
    <sheetView showGridLines="0" showZeros="0" tabSelected="1" topLeftCell="A22" zoomScaleNormal="100" zoomScaleSheetLayoutView="85" workbookViewId="0">
      <selection activeCell="A12" sqref="A12:D12"/>
    </sheetView>
  </sheetViews>
  <sheetFormatPr defaultColWidth="9.140625" defaultRowHeight="15.75"/>
  <cols>
    <col min="1" max="1" width="4.140625" style="8" customWidth="1"/>
    <col min="2" max="2" width="51.7109375" style="8" customWidth="1"/>
    <col min="3" max="3" width="8.7109375" style="8" customWidth="1"/>
    <col min="4" max="4" width="34.7109375" style="8" customWidth="1"/>
    <col min="5" max="5" width="11.28515625" style="8" customWidth="1"/>
    <col min="6" max="6" width="12.7109375" style="8" hidden="1" customWidth="1"/>
    <col min="7" max="7" width="53.7109375" style="19" hidden="1" customWidth="1"/>
    <col min="8" max="8" width="40.7109375" style="19" hidden="1" customWidth="1"/>
    <col min="9" max="9" width="93.7109375" style="1" hidden="1" customWidth="1"/>
    <col min="10" max="10" width="15.7109375" style="362" customWidth="1"/>
    <col min="11" max="35" width="9.140625" style="8" hidden="1" customWidth="1"/>
    <col min="36" max="36" width="10.85546875" style="8" hidden="1" customWidth="1"/>
    <col min="37" max="59" width="0" style="8" hidden="1" customWidth="1"/>
    <col min="60" max="60" width="24.28515625" style="8" customWidth="1"/>
    <col min="61" max="61" width="12.7109375" style="8" bestFit="1" customWidth="1"/>
    <col min="62" max="62" width="6.5703125" style="8" hidden="1" customWidth="1"/>
    <col min="63" max="63" width="8.28515625" style="8" hidden="1" customWidth="1"/>
    <col min="64" max="64" width="23.28515625" style="8" hidden="1" customWidth="1"/>
    <col min="65" max="65" width="6.5703125" style="8" hidden="1" customWidth="1"/>
    <col min="66" max="66" width="14.5703125" style="8" hidden="1" customWidth="1"/>
    <col min="67" max="67" width="22.28515625" style="8" hidden="1" customWidth="1"/>
    <col min="68" max="68" width="9" style="8" hidden="1" customWidth="1"/>
    <col min="69" max="69" width="0" style="8" hidden="1" customWidth="1"/>
    <col min="70" max="70" width="9.140625" style="8"/>
    <col min="71" max="71" width="12" style="8" bestFit="1" customWidth="1"/>
    <col min="72" max="16384" width="9.140625" style="8"/>
  </cols>
  <sheetData>
    <row r="1" spans="1:59">
      <c r="D1" s="23" t="s">
        <v>108</v>
      </c>
      <c r="J1" s="361"/>
    </row>
    <row r="2" spans="1:59" ht="42.75" customHeight="1">
      <c r="D2" s="314" t="str">
        <f>'Анализ стоимости'!I97</f>
        <v>Глава Старонижестеблиевского сельского поселения Красноармейского района</v>
      </c>
      <c r="J2" s="360" t="s">
        <v>240</v>
      </c>
    </row>
    <row r="3" spans="1:59">
      <c r="D3" s="23"/>
      <c r="J3" s="362">
        <v>1</v>
      </c>
    </row>
    <row r="4" spans="1:59" ht="9.75" customHeight="1">
      <c r="D4" s="23"/>
      <c r="J4" s="362">
        <v>1</v>
      </c>
    </row>
    <row r="5" spans="1:59" ht="19.5" customHeight="1">
      <c r="D5" s="313" t="str">
        <f>CONCATENATE("_________________ ",'Анализ стоимости'!I98)</f>
        <v>_________________ Новак В.В.</v>
      </c>
      <c r="J5" s="362">
        <v>1</v>
      </c>
    </row>
    <row r="6" spans="1:59">
      <c r="D6" s="36" t="s">
        <v>109</v>
      </c>
      <c r="J6" s="362">
        <v>1</v>
      </c>
    </row>
    <row r="7" spans="1:59" s="10" customFormat="1" ht="18.75">
      <c r="A7" s="381" t="s">
        <v>110</v>
      </c>
      <c r="B7" s="381"/>
      <c r="C7" s="381"/>
      <c r="D7" s="381"/>
      <c r="F7" s="60"/>
      <c r="G7" s="19"/>
      <c r="H7" s="19"/>
      <c r="I7" s="2"/>
      <c r="J7" s="362">
        <v>1</v>
      </c>
    </row>
    <row r="8" spans="1:59" s="3" customFormat="1" ht="81.599999999999994" customHeight="1">
      <c r="A8" s="376" t="str">
        <f>CONCATENATE("Предмет муниципального контракта: ",'Анализ стоимости'!I95)</f>
        <v>Предмет муниципального контракта: 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Старонижестеблиевском сельском поселении Красноармейского района государственной программы Краснодарского края  «Развитие сети автомобильных дорог Краснодарского края»</v>
      </c>
      <c r="B8" s="376"/>
      <c r="C8" s="376"/>
      <c r="D8" s="376"/>
      <c r="E8" s="62"/>
      <c r="F8" s="62"/>
      <c r="G8" s="37"/>
      <c r="H8" s="37"/>
      <c r="I8" s="24" t="str">
        <f>A8</f>
        <v>Предмет муниципального контракта: 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Старонижестеблиевском сельском поселении Красноармейского района государственной программы Краснодарского края  «Развитие сети автомобильных дорог Краснодарского края»</v>
      </c>
      <c r="J8" s="362">
        <v>1</v>
      </c>
    </row>
    <row r="9" spans="1:59" s="27" customFormat="1" ht="4.5" customHeight="1">
      <c r="A9" s="25"/>
      <c r="B9" s="25"/>
      <c r="C9" s="25"/>
      <c r="D9" s="25"/>
      <c r="E9" s="26"/>
      <c r="G9" s="38"/>
      <c r="H9" s="38"/>
      <c r="I9" s="28"/>
      <c r="J9" s="362">
        <v>1</v>
      </c>
    </row>
    <row r="10" spans="1:59" s="3" customFormat="1">
      <c r="A10" s="57" t="str">
        <f ca="1">CONCATENATE("Дата подготовки обоснования начальной (максимальной) цены контракта: ",TEXT(TODAY(),"ДД.ММ.ГГГГ")," г")</f>
        <v>Дата подготовки обоснования начальной (максимальной) цены контракта: 29.08.2018 г</v>
      </c>
      <c r="B10" s="22"/>
      <c r="C10" s="22"/>
      <c r="D10" s="22"/>
      <c r="E10" s="62"/>
      <c r="F10" s="65">
        <f>IF('Анализ стоимости'!AJ4&gt;0,'Анализ стоимости'!A4,0)</f>
        <v>1</v>
      </c>
      <c r="G10" s="37"/>
      <c r="H10" s="37"/>
      <c r="I10" s="5"/>
      <c r="J10" s="362">
        <v>1</v>
      </c>
    </row>
    <row r="11" spans="1:59" s="3" customFormat="1" ht="33" customHeight="1">
      <c r="A11" s="376" t="str">
        <f>CONCATENATE("Используемый метод определения начальной (максимальной) цены контракта: ",'Анализ стоимости'!C4)</f>
        <v>Используемый метод определения начальной (максимальной) цены контракта: Проектно-сметный метод</v>
      </c>
      <c r="B11" s="376"/>
      <c r="C11" s="376"/>
      <c r="D11" s="376"/>
      <c r="E11" s="62"/>
      <c r="F11" s="65">
        <f>IF('Анализ стоимости'!AJ5&gt;0,'Анализ стоимости'!A5,0)</f>
        <v>0</v>
      </c>
      <c r="G11" s="37"/>
      <c r="H11" s="37"/>
      <c r="I11" s="5" t="str">
        <f>A11</f>
        <v>Используемый метод определения начальной (максимальной) цены контракта: Проектно-сметный метод</v>
      </c>
      <c r="J11" s="362">
        <v>1</v>
      </c>
    </row>
    <row r="12" spans="1:59" s="3" customFormat="1" ht="83.25" customHeight="1">
      <c r="A12" s="376" t="str">
        <f>VLOOKUP('Анализ стоимости'!C4,обосн,2,0)</f>
        <v>Обоснование выбранного метода определения начальной (максимальной) цены контракта: часть 9.1 статьи 22 федерального закона от 05.04.2013 г. №44-ФЗ</v>
      </c>
      <c r="B12" s="376"/>
      <c r="C12" s="376"/>
      <c r="D12" s="376"/>
      <c r="E12" s="62"/>
      <c r="F12" s="65">
        <f>IF('Анализ стоимости'!AJ6&gt;0,'Анализ стоимости'!A6,0)</f>
        <v>0</v>
      </c>
      <c r="G12" s="37"/>
      <c r="H12" s="37"/>
      <c r="I12" s="59" t="str">
        <f>A12</f>
        <v>Обоснование выбранного метода определения начальной (максимальной) цены контракта: часть 9.1 статьи 22 федерального закона от 05.04.2013 г. №44-ФЗ</v>
      </c>
      <c r="J12" s="362">
        <v>1</v>
      </c>
    </row>
    <row r="13" spans="1:59" s="27" customFormat="1" ht="2.25" customHeight="1">
      <c r="A13" s="30"/>
      <c r="B13" s="25"/>
      <c r="C13" s="25"/>
      <c r="D13" s="25"/>
      <c r="E13" s="26"/>
      <c r="F13" s="65">
        <f>IF('Анализ стоимости'!AJ7&gt;0,'Анализ стоимости'!A7,0)</f>
        <v>0</v>
      </c>
      <c r="G13" s="38"/>
      <c r="H13" s="38"/>
      <c r="I13" s="28"/>
      <c r="J13" s="362">
        <v>1</v>
      </c>
    </row>
    <row r="14" spans="1:59" s="3" customFormat="1">
      <c r="A14" s="64" t="str">
        <f>CONCATENATE("Таблица. Расчет начальной (максимальной) цены контракта на основании", IF(COUNTIF(F10:F57,"&gt;0")&gt;1,CONCATENATE(" приложений №1 - №",COUNTIF(F10:F57,"&gt;0"))," приложения №1"))</f>
        <v>Таблица. Расчет начальной (максимальной) цены контракта на основании приложения №1</v>
      </c>
      <c r="B14" s="22"/>
      <c r="C14" s="22"/>
      <c r="D14" s="22"/>
      <c r="E14" s="62"/>
      <c r="F14" s="65">
        <f>IF('Анализ стоимости'!AJ8&gt;0,'Анализ стоимости'!A8,0)</f>
        <v>0</v>
      </c>
      <c r="G14" s="37"/>
      <c r="H14" s="37"/>
      <c r="I14" s="5"/>
      <c r="J14" s="362">
        <v>1</v>
      </c>
    </row>
    <row r="15" spans="1:59">
      <c r="A15" s="383" t="s">
        <v>112</v>
      </c>
      <c r="B15" s="383"/>
      <c r="C15" s="383"/>
      <c r="D15" s="383"/>
      <c r="F15" s="65">
        <f>IF('Анализ стоимости'!AJ9&gt;0,'Анализ стоимости'!A9,0)</f>
        <v>0</v>
      </c>
      <c r="I15" s="2"/>
      <c r="J15" s="362">
        <v>1</v>
      </c>
      <c r="K15" s="3"/>
      <c r="AI15" s="8">
        <v>831</v>
      </c>
      <c r="AJ15" s="8">
        <f>AI15+34</f>
        <v>865</v>
      </c>
      <c r="AK15" s="8">
        <f>AJ15+34</f>
        <v>899</v>
      </c>
      <c r="AL15" s="8">
        <f t="shared" ref="AL15:BG15" si="0">AK15+34</f>
        <v>933</v>
      </c>
      <c r="AM15" s="8">
        <f t="shared" si="0"/>
        <v>967</v>
      </c>
      <c r="AN15" s="8">
        <f t="shared" si="0"/>
        <v>1001</v>
      </c>
      <c r="AO15" s="8">
        <f t="shared" si="0"/>
        <v>1035</v>
      </c>
      <c r="AP15" s="8">
        <f t="shared" si="0"/>
        <v>1069</v>
      </c>
      <c r="AQ15" s="8">
        <f t="shared" si="0"/>
        <v>1103</v>
      </c>
      <c r="AR15" s="8">
        <f t="shared" si="0"/>
        <v>1137</v>
      </c>
      <c r="AS15" s="8">
        <f t="shared" si="0"/>
        <v>1171</v>
      </c>
      <c r="AT15" s="8">
        <f t="shared" si="0"/>
        <v>1205</v>
      </c>
      <c r="AU15" s="8">
        <f t="shared" si="0"/>
        <v>1239</v>
      </c>
      <c r="AV15" s="8">
        <f t="shared" si="0"/>
        <v>1273</v>
      </c>
      <c r="AW15" s="8">
        <f t="shared" si="0"/>
        <v>1307</v>
      </c>
      <c r="AX15" s="8">
        <f t="shared" si="0"/>
        <v>1341</v>
      </c>
      <c r="AY15" s="8">
        <f t="shared" si="0"/>
        <v>1375</v>
      </c>
      <c r="AZ15" s="8">
        <f t="shared" si="0"/>
        <v>1409</v>
      </c>
      <c r="BA15" s="8">
        <f t="shared" si="0"/>
        <v>1443</v>
      </c>
      <c r="BB15" s="8">
        <f t="shared" si="0"/>
        <v>1477</v>
      </c>
      <c r="BC15" s="8">
        <f t="shared" si="0"/>
        <v>1511</v>
      </c>
      <c r="BD15" s="8">
        <f t="shared" si="0"/>
        <v>1545</v>
      </c>
      <c r="BE15" s="8">
        <f t="shared" si="0"/>
        <v>1579</v>
      </c>
      <c r="BF15" s="8">
        <f t="shared" si="0"/>
        <v>1613</v>
      </c>
      <c r="BG15" s="8">
        <f t="shared" si="0"/>
        <v>1647</v>
      </c>
    </row>
    <row r="16" spans="1:59" s="7" customFormat="1" ht="47.25">
      <c r="A16" s="63" t="s">
        <v>67</v>
      </c>
      <c r="B16" s="63" t="s">
        <v>98</v>
      </c>
      <c r="C16" s="377" t="str">
        <f>CONCATENATE("Стоимость  согласно сметной документации (руб.) в текущих ценах по состоянию на ",'Анализ стоимости'!E4," г.")</f>
        <v>Стоимость  согласно сметной документации (руб.) в текущих ценах по состоянию на 01.06.2017 г.</v>
      </c>
      <c r="D16" s="378"/>
      <c r="F16" s="65">
        <f>IF('Анализ стоимости'!AJ10&gt;0,'Анализ стоимости'!A10,0)</f>
        <v>0</v>
      </c>
      <c r="G16" s="19"/>
      <c r="H16" s="44" t="str">
        <f>C16</f>
        <v>Стоимость  согласно сметной документации (руб.) в текущих ценах по состоянию на 01.06.2017 г.</v>
      </c>
      <c r="I16" s="2"/>
      <c r="J16" s="362">
        <v>1</v>
      </c>
      <c r="L16" s="4" t="s">
        <v>158</v>
      </c>
      <c r="AG16" s="17"/>
      <c r="AH16" s="17"/>
      <c r="AI16" s="17"/>
    </row>
    <row r="17" spans="1:69" s="7" customFormat="1">
      <c r="A17" s="33">
        <v>1</v>
      </c>
      <c r="B17" s="32" t="s">
        <v>46</v>
      </c>
      <c r="C17" s="379">
        <f>SUMIF(L17:BG17,$L$16)</f>
        <v>59079</v>
      </c>
      <c r="D17" s="380"/>
      <c r="F17" s="65">
        <f>IF('Анализ стоимости'!AJ11&gt;0,'Анализ стоимости'!A11,0)</f>
        <v>0</v>
      </c>
      <c r="G17" s="19"/>
      <c r="H17" s="19"/>
      <c r="I17" s="2"/>
      <c r="J17" s="362">
        <v>1</v>
      </c>
      <c r="L17" s="17">
        <f>C48</f>
        <v>59079</v>
      </c>
      <c r="M17" s="17">
        <f>C82</f>
        <v>0</v>
      </c>
      <c r="N17" s="17">
        <f>C116</f>
        <v>0</v>
      </c>
      <c r="O17" s="17">
        <f>C150</f>
        <v>0</v>
      </c>
      <c r="P17" s="17">
        <f>C184</f>
        <v>0</v>
      </c>
      <c r="Q17" s="17">
        <f>C218</f>
        <v>0</v>
      </c>
      <c r="R17" s="17">
        <f>C252</f>
        <v>0</v>
      </c>
      <c r="S17" s="17">
        <f>C286</f>
        <v>0</v>
      </c>
      <c r="T17" s="17">
        <f>C320</f>
        <v>0</v>
      </c>
      <c r="U17" s="17">
        <f>C354</f>
        <v>0</v>
      </c>
      <c r="V17" s="17">
        <f>C388</f>
        <v>0</v>
      </c>
      <c r="W17" s="17">
        <f>C422</f>
        <v>0</v>
      </c>
      <c r="X17" s="17">
        <f>C456</f>
        <v>0</v>
      </c>
      <c r="Y17" s="17">
        <f>C490</f>
        <v>0</v>
      </c>
      <c r="Z17" s="17">
        <f>C524</f>
        <v>0</v>
      </c>
      <c r="AA17" s="17">
        <f>C558</f>
        <v>0</v>
      </c>
      <c r="AB17" s="17">
        <f>C592</f>
        <v>0</v>
      </c>
      <c r="AC17" s="17">
        <f>C626</f>
        <v>0</v>
      </c>
      <c r="AD17" s="17">
        <f>C660</f>
        <v>0</v>
      </c>
      <c r="AE17" s="17">
        <f>C694</f>
        <v>0</v>
      </c>
      <c r="AF17" s="17">
        <f>C728</f>
        <v>0</v>
      </c>
      <c r="AG17" s="17">
        <f>C762</f>
        <v>0</v>
      </c>
      <c r="AH17" s="17">
        <f>C796</f>
        <v>0</v>
      </c>
      <c r="AI17" s="17">
        <f>C830</f>
        <v>0</v>
      </c>
      <c r="AJ17" s="17">
        <f>C864</f>
        <v>0</v>
      </c>
      <c r="AK17" s="17">
        <f>C898</f>
        <v>0</v>
      </c>
      <c r="AL17" s="17">
        <f>C932</f>
        <v>0</v>
      </c>
      <c r="AM17" s="17">
        <f>C966</f>
        <v>0</v>
      </c>
      <c r="AN17" s="17">
        <f>C1000</f>
        <v>0</v>
      </c>
      <c r="AO17" s="17">
        <f>C1034</f>
        <v>0</v>
      </c>
      <c r="AP17" s="17">
        <f>C1068</f>
        <v>0</v>
      </c>
      <c r="AQ17" s="17">
        <f>C1102</f>
        <v>0</v>
      </c>
      <c r="AR17" s="17">
        <f>C1136</f>
        <v>0</v>
      </c>
      <c r="AS17" s="17">
        <f>C1170</f>
        <v>0</v>
      </c>
      <c r="AT17" s="17">
        <f>C1204</f>
        <v>0</v>
      </c>
      <c r="AU17" s="17">
        <f>C1238</f>
        <v>0</v>
      </c>
      <c r="AV17" s="17">
        <f>C1272</f>
        <v>0</v>
      </c>
      <c r="AW17" s="17">
        <f>C1306</f>
        <v>0</v>
      </c>
      <c r="AX17" s="17">
        <f>C1340</f>
        <v>0</v>
      </c>
      <c r="AY17" s="17">
        <f>C1374</f>
        <v>0</v>
      </c>
      <c r="AZ17" s="17">
        <f>C1408</f>
        <v>0</v>
      </c>
      <c r="BA17" s="17">
        <f>C1442</f>
        <v>0</v>
      </c>
      <c r="BB17" s="17">
        <f>C1476</f>
        <v>0</v>
      </c>
      <c r="BC17" s="17">
        <f>C1510</f>
        <v>0</v>
      </c>
      <c r="BD17" s="17">
        <f>C1544</f>
        <v>0</v>
      </c>
      <c r="BE17" s="17">
        <f>C1578</f>
        <v>0</v>
      </c>
      <c r="BF17" s="17">
        <f>C1612</f>
        <v>0</v>
      </c>
      <c r="BG17" s="17">
        <f>C1646</f>
        <v>0</v>
      </c>
    </row>
    <row r="18" spans="1:69" s="7" customFormat="1">
      <c r="A18" s="33">
        <v>2</v>
      </c>
      <c r="B18" s="32" t="s">
        <v>41</v>
      </c>
      <c r="C18" s="379">
        <f>SUMIF(L18:BG18,$L$16)</f>
        <v>90140</v>
      </c>
      <c r="D18" s="380"/>
      <c r="F18" s="65">
        <f>IF('Анализ стоимости'!AJ12&gt;0,'Анализ стоимости'!A12,0)</f>
        <v>0</v>
      </c>
      <c r="G18" s="19"/>
      <c r="H18" s="19"/>
      <c r="I18" s="2"/>
      <c r="J18" s="362">
        <v>1</v>
      </c>
      <c r="K18" s="4"/>
      <c r="L18" s="17">
        <f t="shared" ref="L18:L24" si="1">C49</f>
        <v>90140</v>
      </c>
      <c r="M18" s="17">
        <f t="shared" ref="M18:M24" si="2">C83</f>
        <v>0</v>
      </c>
      <c r="N18" s="17">
        <f t="shared" ref="N18:N24" si="3">C117</f>
        <v>0</v>
      </c>
      <c r="O18" s="17">
        <f t="shared" ref="O18:O24" si="4">C151</f>
        <v>0</v>
      </c>
      <c r="P18" s="17">
        <f t="shared" ref="P18:P24" si="5">C185</f>
        <v>0</v>
      </c>
      <c r="Q18" s="17">
        <f t="shared" ref="Q18:Q24" si="6">C219</f>
        <v>0</v>
      </c>
      <c r="R18" s="17">
        <f t="shared" ref="R18:R24" si="7">C253</f>
        <v>0</v>
      </c>
      <c r="S18" s="17">
        <f t="shared" ref="S18:S24" si="8">C287</f>
        <v>0</v>
      </c>
      <c r="T18" s="17">
        <f t="shared" ref="T18:T24" si="9">C321</f>
        <v>0</v>
      </c>
      <c r="U18" s="17">
        <f t="shared" ref="U18:U24" si="10">C355</f>
        <v>0</v>
      </c>
      <c r="V18" s="17">
        <f t="shared" ref="V18:V24" si="11">C389</f>
        <v>0</v>
      </c>
      <c r="W18" s="17">
        <f t="shared" ref="W18:W24" si="12">C423</f>
        <v>0</v>
      </c>
      <c r="X18" s="17">
        <f t="shared" ref="X18:X24" si="13">C457</f>
        <v>0</v>
      </c>
      <c r="Y18" s="17">
        <f t="shared" ref="Y18:Y24" si="14">C491</f>
        <v>0</v>
      </c>
      <c r="Z18" s="17">
        <f t="shared" ref="Z18:Z24" si="15">C525</f>
        <v>0</v>
      </c>
      <c r="AA18" s="17">
        <f t="shared" ref="AA18:AA24" si="16">C559</f>
        <v>0</v>
      </c>
      <c r="AB18" s="17">
        <f t="shared" ref="AB18:AB24" si="17">C593</f>
        <v>0</v>
      </c>
      <c r="AC18" s="17">
        <f t="shared" ref="AC18:AC24" si="18">C627</f>
        <v>0</v>
      </c>
      <c r="AD18" s="17">
        <f t="shared" ref="AD18:AD24" si="19">C661</f>
        <v>0</v>
      </c>
      <c r="AE18" s="17">
        <f t="shared" ref="AE18:AE24" si="20">C695</f>
        <v>0</v>
      </c>
      <c r="AF18" s="17">
        <f t="shared" ref="AF18:AF24" si="21">C729</f>
        <v>0</v>
      </c>
      <c r="AG18" s="17">
        <f t="shared" ref="AG18:AG24" si="22">C763</f>
        <v>0</v>
      </c>
      <c r="AH18" s="17">
        <f t="shared" ref="AH18:AH24" si="23">C797</f>
        <v>0</v>
      </c>
      <c r="AI18" s="17">
        <f t="shared" ref="AI18:AI24" si="24">C831</f>
        <v>0</v>
      </c>
      <c r="AJ18" s="17">
        <f t="shared" ref="AJ18:AJ21" si="25">C865</f>
        <v>0</v>
      </c>
      <c r="AK18" s="17">
        <f t="shared" ref="AK18:AK21" si="26">C899</f>
        <v>0</v>
      </c>
      <c r="AL18" s="17">
        <f t="shared" ref="AL18:AL21" si="27">C933</f>
        <v>0</v>
      </c>
      <c r="AM18" s="17">
        <f t="shared" ref="AM18:AM21" si="28">C967</f>
        <v>0</v>
      </c>
      <c r="AN18" s="17">
        <f t="shared" ref="AN18:AN21" si="29">C1001</f>
        <v>0</v>
      </c>
      <c r="AO18" s="17">
        <f t="shared" ref="AO18:AO21" si="30">C1035</f>
        <v>0</v>
      </c>
      <c r="AP18" s="17">
        <f t="shared" ref="AP18:AP21" si="31">C1069</f>
        <v>0</v>
      </c>
      <c r="AQ18" s="17">
        <f t="shared" ref="AQ18:AQ21" si="32">C1103</f>
        <v>0</v>
      </c>
      <c r="AR18" s="17">
        <f t="shared" ref="AR18:AR21" si="33">C1137</f>
        <v>0</v>
      </c>
      <c r="AS18" s="17">
        <f t="shared" ref="AS18:AS21" si="34">C1171</f>
        <v>0</v>
      </c>
      <c r="AT18" s="17">
        <f t="shared" ref="AT18:AT21" si="35">C1205</f>
        <v>0</v>
      </c>
      <c r="AU18" s="17">
        <f t="shared" ref="AU18:AU21" si="36">C1239</f>
        <v>0</v>
      </c>
      <c r="AV18" s="17">
        <f t="shared" ref="AV18:AV21" si="37">C1273</f>
        <v>0</v>
      </c>
      <c r="AW18" s="17">
        <f t="shared" ref="AW18:AW21" si="38">C1307</f>
        <v>0</v>
      </c>
      <c r="AX18" s="17">
        <f t="shared" ref="AX18:AX21" si="39">C1341</f>
        <v>0</v>
      </c>
      <c r="AY18" s="17">
        <f t="shared" ref="AY18:AY21" si="40">C1375</f>
        <v>0</v>
      </c>
      <c r="AZ18" s="17">
        <f t="shared" ref="AZ18:AZ21" si="41">C1409</f>
        <v>0</v>
      </c>
      <c r="BA18" s="17">
        <f t="shared" ref="BA18:BA21" si="42">C1443</f>
        <v>0</v>
      </c>
      <c r="BB18" s="17">
        <f t="shared" ref="BB18:BB21" si="43">C1477</f>
        <v>0</v>
      </c>
      <c r="BC18" s="17">
        <f t="shared" ref="BC18:BC21" si="44">C1511</f>
        <v>0</v>
      </c>
      <c r="BD18" s="17">
        <f t="shared" ref="BD18:BD21" si="45">C1545</f>
        <v>0</v>
      </c>
      <c r="BE18" s="17">
        <f t="shared" ref="BE18:BE21" si="46">C1579</f>
        <v>0</v>
      </c>
      <c r="BF18" s="17">
        <f t="shared" ref="BF18:BF21" si="47">C1613</f>
        <v>0</v>
      </c>
      <c r="BG18" s="17">
        <f t="shared" ref="BG18:BG21" si="48">C1647</f>
        <v>0</v>
      </c>
    </row>
    <row r="19" spans="1:69" s="7" customFormat="1" ht="31.5">
      <c r="A19" s="33">
        <v>3</v>
      </c>
      <c r="B19" s="32" t="s">
        <v>3</v>
      </c>
      <c r="C19" s="379">
        <f>SUMIF(L19:BG19,$L$16)</f>
        <v>652382</v>
      </c>
      <c r="D19" s="380"/>
      <c r="F19" s="65">
        <f>IF('Анализ стоимости'!AJ13&gt;0,'Анализ стоимости'!A13,0)</f>
        <v>0</v>
      </c>
      <c r="G19" s="19"/>
      <c r="H19" s="19"/>
      <c r="I19" s="2"/>
      <c r="J19" s="362">
        <v>1</v>
      </c>
      <c r="L19" s="17">
        <f t="shared" si="1"/>
        <v>652382</v>
      </c>
      <c r="M19" s="17">
        <f t="shared" si="2"/>
        <v>0</v>
      </c>
      <c r="N19" s="17">
        <f t="shared" si="3"/>
        <v>0</v>
      </c>
      <c r="O19" s="17">
        <f t="shared" si="4"/>
        <v>0</v>
      </c>
      <c r="P19" s="17">
        <f t="shared" si="5"/>
        <v>0</v>
      </c>
      <c r="Q19" s="17">
        <f t="shared" si="6"/>
        <v>0</v>
      </c>
      <c r="R19" s="17">
        <f t="shared" si="7"/>
        <v>0</v>
      </c>
      <c r="S19" s="17">
        <f t="shared" si="8"/>
        <v>0</v>
      </c>
      <c r="T19" s="17">
        <f t="shared" si="9"/>
        <v>0</v>
      </c>
      <c r="U19" s="17">
        <f t="shared" si="10"/>
        <v>0</v>
      </c>
      <c r="V19" s="17">
        <f t="shared" si="11"/>
        <v>0</v>
      </c>
      <c r="W19" s="17">
        <f t="shared" si="12"/>
        <v>0</v>
      </c>
      <c r="X19" s="17">
        <f t="shared" si="13"/>
        <v>0</v>
      </c>
      <c r="Y19" s="17">
        <f t="shared" si="14"/>
        <v>0</v>
      </c>
      <c r="Z19" s="17">
        <f t="shared" si="15"/>
        <v>0</v>
      </c>
      <c r="AA19" s="17">
        <f t="shared" si="16"/>
        <v>0</v>
      </c>
      <c r="AB19" s="17">
        <f t="shared" si="17"/>
        <v>0</v>
      </c>
      <c r="AC19" s="17">
        <f t="shared" si="18"/>
        <v>0</v>
      </c>
      <c r="AD19" s="17">
        <f t="shared" si="19"/>
        <v>0</v>
      </c>
      <c r="AE19" s="17">
        <f t="shared" si="20"/>
        <v>0</v>
      </c>
      <c r="AF19" s="17">
        <f t="shared" si="21"/>
        <v>0</v>
      </c>
      <c r="AG19" s="17">
        <f t="shared" si="22"/>
        <v>0</v>
      </c>
      <c r="AH19" s="17">
        <f t="shared" si="23"/>
        <v>0</v>
      </c>
      <c r="AI19" s="17">
        <f t="shared" si="24"/>
        <v>0</v>
      </c>
      <c r="AJ19" s="17">
        <f t="shared" si="25"/>
        <v>0</v>
      </c>
      <c r="AK19" s="17">
        <f t="shared" si="26"/>
        <v>0</v>
      </c>
      <c r="AL19" s="17">
        <f t="shared" si="27"/>
        <v>0</v>
      </c>
      <c r="AM19" s="17">
        <f t="shared" si="28"/>
        <v>0</v>
      </c>
      <c r="AN19" s="17">
        <f t="shared" si="29"/>
        <v>0</v>
      </c>
      <c r="AO19" s="17">
        <f t="shared" si="30"/>
        <v>0</v>
      </c>
      <c r="AP19" s="17">
        <f t="shared" si="31"/>
        <v>0</v>
      </c>
      <c r="AQ19" s="17">
        <f t="shared" si="32"/>
        <v>0</v>
      </c>
      <c r="AR19" s="17">
        <f t="shared" si="33"/>
        <v>0</v>
      </c>
      <c r="AS19" s="17">
        <f t="shared" si="34"/>
        <v>0</v>
      </c>
      <c r="AT19" s="17">
        <f t="shared" si="35"/>
        <v>0</v>
      </c>
      <c r="AU19" s="17">
        <f t="shared" si="36"/>
        <v>0</v>
      </c>
      <c r="AV19" s="17">
        <f t="shared" si="37"/>
        <v>0</v>
      </c>
      <c r="AW19" s="17">
        <f t="shared" si="38"/>
        <v>0</v>
      </c>
      <c r="AX19" s="17">
        <f t="shared" si="39"/>
        <v>0</v>
      </c>
      <c r="AY19" s="17">
        <f t="shared" si="40"/>
        <v>0</v>
      </c>
      <c r="AZ19" s="17">
        <f t="shared" si="41"/>
        <v>0</v>
      </c>
      <c r="BA19" s="17">
        <f t="shared" si="42"/>
        <v>0</v>
      </c>
      <c r="BB19" s="17">
        <f t="shared" si="43"/>
        <v>0</v>
      </c>
      <c r="BC19" s="17">
        <f t="shared" si="44"/>
        <v>0</v>
      </c>
      <c r="BD19" s="17">
        <f t="shared" si="45"/>
        <v>0</v>
      </c>
      <c r="BE19" s="17">
        <f t="shared" si="46"/>
        <v>0</v>
      </c>
      <c r="BF19" s="17">
        <f t="shared" si="47"/>
        <v>0</v>
      </c>
      <c r="BG19" s="17">
        <f t="shared" si="48"/>
        <v>0</v>
      </c>
    </row>
    <row r="20" spans="1:69" s="7" customFormat="1">
      <c r="A20" s="33">
        <v>4</v>
      </c>
      <c r="B20" s="32" t="s">
        <v>42</v>
      </c>
      <c r="C20" s="379">
        <f>SUMIF(L20:BG20,$L$16)</f>
        <v>71371</v>
      </c>
      <c r="D20" s="380"/>
      <c r="F20" s="65">
        <f>IF('Анализ стоимости'!AJ14&gt;0,'Анализ стоимости'!A14,0)</f>
        <v>0</v>
      </c>
      <c r="G20" s="19"/>
      <c r="H20" s="19"/>
      <c r="I20" s="2"/>
      <c r="J20" s="362">
        <v>1</v>
      </c>
      <c r="L20" s="17">
        <f t="shared" si="1"/>
        <v>71371</v>
      </c>
      <c r="M20" s="17">
        <f t="shared" si="2"/>
        <v>0</v>
      </c>
      <c r="N20" s="17">
        <f t="shared" si="3"/>
        <v>0</v>
      </c>
      <c r="O20" s="17">
        <f t="shared" si="4"/>
        <v>0</v>
      </c>
      <c r="P20" s="17">
        <f t="shared" si="5"/>
        <v>0</v>
      </c>
      <c r="Q20" s="17">
        <f t="shared" si="6"/>
        <v>0</v>
      </c>
      <c r="R20" s="17">
        <f t="shared" si="7"/>
        <v>0</v>
      </c>
      <c r="S20" s="17">
        <f t="shared" si="8"/>
        <v>0</v>
      </c>
      <c r="T20" s="17">
        <f t="shared" si="9"/>
        <v>0</v>
      </c>
      <c r="U20" s="17">
        <f t="shared" si="10"/>
        <v>0</v>
      </c>
      <c r="V20" s="17">
        <f t="shared" si="11"/>
        <v>0</v>
      </c>
      <c r="W20" s="17">
        <f t="shared" si="12"/>
        <v>0</v>
      </c>
      <c r="X20" s="17">
        <f t="shared" si="13"/>
        <v>0</v>
      </c>
      <c r="Y20" s="17">
        <f t="shared" si="14"/>
        <v>0</v>
      </c>
      <c r="Z20" s="17">
        <f t="shared" si="15"/>
        <v>0</v>
      </c>
      <c r="AA20" s="17">
        <f t="shared" si="16"/>
        <v>0</v>
      </c>
      <c r="AB20" s="17">
        <f t="shared" si="17"/>
        <v>0</v>
      </c>
      <c r="AC20" s="17">
        <f t="shared" si="18"/>
        <v>0</v>
      </c>
      <c r="AD20" s="17">
        <f t="shared" si="19"/>
        <v>0</v>
      </c>
      <c r="AE20" s="17">
        <f t="shared" si="20"/>
        <v>0</v>
      </c>
      <c r="AF20" s="17">
        <f t="shared" si="21"/>
        <v>0</v>
      </c>
      <c r="AG20" s="17">
        <f t="shared" si="22"/>
        <v>0</v>
      </c>
      <c r="AH20" s="17">
        <f t="shared" si="23"/>
        <v>0</v>
      </c>
      <c r="AI20" s="17">
        <f t="shared" si="24"/>
        <v>0</v>
      </c>
      <c r="AJ20" s="17">
        <f t="shared" si="25"/>
        <v>0</v>
      </c>
      <c r="AK20" s="17">
        <f t="shared" si="26"/>
        <v>0</v>
      </c>
      <c r="AL20" s="17">
        <f t="shared" si="27"/>
        <v>0</v>
      </c>
      <c r="AM20" s="17">
        <f t="shared" si="28"/>
        <v>0</v>
      </c>
      <c r="AN20" s="17">
        <f t="shared" si="29"/>
        <v>0</v>
      </c>
      <c r="AO20" s="17">
        <f t="shared" si="30"/>
        <v>0</v>
      </c>
      <c r="AP20" s="17">
        <f t="shared" si="31"/>
        <v>0</v>
      </c>
      <c r="AQ20" s="17">
        <f t="shared" si="32"/>
        <v>0</v>
      </c>
      <c r="AR20" s="17">
        <f t="shared" si="33"/>
        <v>0</v>
      </c>
      <c r="AS20" s="17">
        <f t="shared" si="34"/>
        <v>0</v>
      </c>
      <c r="AT20" s="17">
        <f t="shared" si="35"/>
        <v>0</v>
      </c>
      <c r="AU20" s="17">
        <f t="shared" si="36"/>
        <v>0</v>
      </c>
      <c r="AV20" s="17">
        <f t="shared" si="37"/>
        <v>0</v>
      </c>
      <c r="AW20" s="17">
        <f t="shared" si="38"/>
        <v>0</v>
      </c>
      <c r="AX20" s="17">
        <f t="shared" si="39"/>
        <v>0</v>
      </c>
      <c r="AY20" s="17">
        <f t="shared" si="40"/>
        <v>0</v>
      </c>
      <c r="AZ20" s="17">
        <f t="shared" si="41"/>
        <v>0</v>
      </c>
      <c r="BA20" s="17">
        <f t="shared" si="42"/>
        <v>0</v>
      </c>
      <c r="BB20" s="17">
        <f t="shared" si="43"/>
        <v>0</v>
      </c>
      <c r="BC20" s="17">
        <f t="shared" si="44"/>
        <v>0</v>
      </c>
      <c r="BD20" s="17">
        <f t="shared" si="45"/>
        <v>0</v>
      </c>
      <c r="BE20" s="17">
        <f t="shared" si="46"/>
        <v>0</v>
      </c>
      <c r="BF20" s="17">
        <f t="shared" si="47"/>
        <v>0</v>
      </c>
      <c r="BG20" s="17">
        <f t="shared" si="48"/>
        <v>0</v>
      </c>
    </row>
    <row r="21" spans="1:69" s="7" customFormat="1">
      <c r="A21" s="33">
        <v>5</v>
      </c>
      <c r="B21" s="32" t="s">
        <v>5</v>
      </c>
      <c r="C21" s="379">
        <f>SUMIF(L21:BG21,$L$16)</f>
        <v>38328</v>
      </c>
      <c r="D21" s="380"/>
      <c r="F21" s="65">
        <f>IF('Анализ стоимости'!AJ15&gt;0,'Анализ стоимости'!A15,0)</f>
        <v>0</v>
      </c>
      <c r="G21" s="19"/>
      <c r="H21" s="19"/>
      <c r="I21" s="2"/>
      <c r="J21" s="362">
        <v>1</v>
      </c>
      <c r="L21" s="17">
        <f t="shared" si="1"/>
        <v>38328</v>
      </c>
      <c r="M21" s="17">
        <f t="shared" si="2"/>
        <v>0</v>
      </c>
      <c r="N21" s="17">
        <f t="shared" si="3"/>
        <v>0</v>
      </c>
      <c r="O21" s="17">
        <f t="shared" si="4"/>
        <v>0</v>
      </c>
      <c r="P21" s="17">
        <f t="shared" si="5"/>
        <v>0</v>
      </c>
      <c r="Q21" s="17">
        <f t="shared" si="6"/>
        <v>0</v>
      </c>
      <c r="R21" s="17">
        <f t="shared" si="7"/>
        <v>0</v>
      </c>
      <c r="S21" s="17">
        <f t="shared" si="8"/>
        <v>0</v>
      </c>
      <c r="T21" s="17">
        <f t="shared" si="9"/>
        <v>0</v>
      </c>
      <c r="U21" s="17">
        <f t="shared" si="10"/>
        <v>0</v>
      </c>
      <c r="V21" s="17">
        <f t="shared" si="11"/>
        <v>0</v>
      </c>
      <c r="W21" s="17">
        <f t="shared" si="12"/>
        <v>0</v>
      </c>
      <c r="X21" s="17">
        <f t="shared" si="13"/>
        <v>0</v>
      </c>
      <c r="Y21" s="17">
        <f t="shared" si="14"/>
        <v>0</v>
      </c>
      <c r="Z21" s="17">
        <f t="shared" si="15"/>
        <v>0</v>
      </c>
      <c r="AA21" s="17">
        <f t="shared" si="16"/>
        <v>0</v>
      </c>
      <c r="AB21" s="17">
        <f t="shared" si="17"/>
        <v>0</v>
      </c>
      <c r="AC21" s="17">
        <f t="shared" si="18"/>
        <v>0</v>
      </c>
      <c r="AD21" s="17">
        <f t="shared" si="19"/>
        <v>0</v>
      </c>
      <c r="AE21" s="17">
        <f t="shared" si="20"/>
        <v>0</v>
      </c>
      <c r="AF21" s="17">
        <f t="shared" si="21"/>
        <v>0</v>
      </c>
      <c r="AG21" s="17">
        <f t="shared" si="22"/>
        <v>0</v>
      </c>
      <c r="AH21" s="17">
        <f t="shared" si="23"/>
        <v>0</v>
      </c>
      <c r="AI21" s="17">
        <f t="shared" si="24"/>
        <v>0</v>
      </c>
      <c r="AJ21" s="17">
        <f t="shared" si="25"/>
        <v>0</v>
      </c>
      <c r="AK21" s="17">
        <f t="shared" si="26"/>
        <v>0</v>
      </c>
      <c r="AL21" s="17">
        <f t="shared" si="27"/>
        <v>0</v>
      </c>
      <c r="AM21" s="17">
        <f t="shared" si="28"/>
        <v>0</v>
      </c>
      <c r="AN21" s="17">
        <f t="shared" si="29"/>
        <v>0</v>
      </c>
      <c r="AO21" s="17">
        <f t="shared" si="30"/>
        <v>0</v>
      </c>
      <c r="AP21" s="17">
        <f t="shared" si="31"/>
        <v>0</v>
      </c>
      <c r="AQ21" s="17">
        <f t="shared" si="32"/>
        <v>0</v>
      </c>
      <c r="AR21" s="17">
        <f t="shared" si="33"/>
        <v>0</v>
      </c>
      <c r="AS21" s="17">
        <f t="shared" si="34"/>
        <v>0</v>
      </c>
      <c r="AT21" s="17">
        <f t="shared" si="35"/>
        <v>0</v>
      </c>
      <c r="AU21" s="17">
        <f t="shared" si="36"/>
        <v>0</v>
      </c>
      <c r="AV21" s="17">
        <f t="shared" si="37"/>
        <v>0</v>
      </c>
      <c r="AW21" s="17">
        <f t="shared" si="38"/>
        <v>0</v>
      </c>
      <c r="AX21" s="17">
        <f t="shared" si="39"/>
        <v>0</v>
      </c>
      <c r="AY21" s="17">
        <f t="shared" si="40"/>
        <v>0</v>
      </c>
      <c r="AZ21" s="17">
        <f t="shared" si="41"/>
        <v>0</v>
      </c>
      <c r="BA21" s="17">
        <f t="shared" si="42"/>
        <v>0</v>
      </c>
      <c r="BB21" s="17">
        <f t="shared" si="43"/>
        <v>0</v>
      </c>
      <c r="BC21" s="17">
        <f t="shared" si="44"/>
        <v>0</v>
      </c>
      <c r="BD21" s="17">
        <f t="shared" si="45"/>
        <v>0</v>
      </c>
      <c r="BE21" s="17">
        <f t="shared" si="46"/>
        <v>0</v>
      </c>
      <c r="BF21" s="17">
        <f t="shared" si="47"/>
        <v>0</v>
      </c>
      <c r="BG21" s="17">
        <f t="shared" si="48"/>
        <v>0</v>
      </c>
    </row>
    <row r="22" spans="1:69" s="7" customFormat="1">
      <c r="A22" s="33">
        <v>6</v>
      </c>
      <c r="B22" s="32" t="s">
        <v>12</v>
      </c>
      <c r="C22" s="379">
        <f t="shared" ref="C22" si="49">SUMIF(L22:AI22,$L$16)</f>
        <v>0</v>
      </c>
      <c r="D22" s="380"/>
      <c r="F22" s="65">
        <f>IF('Анализ стоимости'!AJ16&gt;0,'Анализ стоимости'!A16,0)</f>
        <v>0</v>
      </c>
      <c r="G22" s="19"/>
      <c r="H22" s="19"/>
      <c r="I22" s="2"/>
      <c r="J22" s="362">
        <v>1</v>
      </c>
      <c r="L22" s="17">
        <f t="shared" si="1"/>
        <v>0</v>
      </c>
      <c r="M22" s="17">
        <f t="shared" si="2"/>
        <v>0</v>
      </c>
      <c r="N22" s="17">
        <f t="shared" si="3"/>
        <v>0</v>
      </c>
      <c r="O22" s="17">
        <f t="shared" si="4"/>
        <v>0</v>
      </c>
      <c r="P22" s="17">
        <f t="shared" si="5"/>
        <v>0</v>
      </c>
      <c r="Q22" s="17">
        <f t="shared" si="6"/>
        <v>0</v>
      </c>
      <c r="R22" s="17">
        <f t="shared" si="7"/>
        <v>0</v>
      </c>
      <c r="S22" s="17">
        <f t="shared" si="8"/>
        <v>0</v>
      </c>
      <c r="T22" s="17">
        <f t="shared" si="9"/>
        <v>0</v>
      </c>
      <c r="U22" s="17">
        <f t="shared" si="10"/>
        <v>0</v>
      </c>
      <c r="V22" s="17">
        <f t="shared" si="11"/>
        <v>0</v>
      </c>
      <c r="W22" s="17">
        <f t="shared" si="12"/>
        <v>0</v>
      </c>
      <c r="X22" s="17">
        <f t="shared" si="13"/>
        <v>0</v>
      </c>
      <c r="Y22" s="17">
        <f t="shared" si="14"/>
        <v>0</v>
      </c>
      <c r="Z22" s="17">
        <f t="shared" si="15"/>
        <v>0</v>
      </c>
      <c r="AA22" s="17">
        <f t="shared" si="16"/>
        <v>0</v>
      </c>
      <c r="AB22" s="17">
        <f t="shared" si="17"/>
        <v>0</v>
      </c>
      <c r="AC22" s="17">
        <f t="shared" si="18"/>
        <v>0</v>
      </c>
      <c r="AD22" s="17">
        <f t="shared" si="19"/>
        <v>0</v>
      </c>
      <c r="AE22" s="17">
        <f t="shared" si="20"/>
        <v>0</v>
      </c>
      <c r="AF22" s="17">
        <f t="shared" si="21"/>
        <v>0</v>
      </c>
      <c r="AG22" s="17">
        <f t="shared" si="22"/>
        <v>0</v>
      </c>
      <c r="AH22" s="17">
        <f t="shared" si="23"/>
        <v>0</v>
      </c>
      <c r="AI22" s="17">
        <f t="shared" si="24"/>
        <v>0</v>
      </c>
    </row>
    <row r="23" spans="1:69" s="7" customFormat="1">
      <c r="A23" s="33">
        <v>7</v>
      </c>
      <c r="B23" s="32" t="s">
        <v>88</v>
      </c>
      <c r="C23" s="379">
        <f>SUMIF(L23:BG23,$L$16)</f>
        <v>6338</v>
      </c>
      <c r="D23" s="380"/>
      <c r="F23" s="65">
        <f>IF('Анализ стоимости'!AJ17&gt;0,'Анализ стоимости'!A17,0)</f>
        <v>0</v>
      </c>
      <c r="G23" s="19"/>
      <c r="H23" s="19"/>
      <c r="I23" s="2"/>
      <c r="J23" s="362">
        <v>1</v>
      </c>
      <c r="L23" s="17">
        <f t="shared" si="1"/>
        <v>6338</v>
      </c>
      <c r="M23" s="17">
        <f t="shared" si="2"/>
        <v>0</v>
      </c>
      <c r="N23" s="17">
        <f t="shared" si="3"/>
        <v>0</v>
      </c>
      <c r="O23" s="17">
        <f t="shared" si="4"/>
        <v>0</v>
      </c>
      <c r="P23" s="17">
        <f t="shared" si="5"/>
        <v>0</v>
      </c>
      <c r="Q23" s="17">
        <f t="shared" si="6"/>
        <v>0</v>
      </c>
      <c r="R23" s="17">
        <f t="shared" si="7"/>
        <v>0</v>
      </c>
      <c r="S23" s="17">
        <f t="shared" si="8"/>
        <v>0</v>
      </c>
      <c r="T23" s="17">
        <f t="shared" si="9"/>
        <v>0</v>
      </c>
      <c r="U23" s="17">
        <f t="shared" si="10"/>
        <v>0</v>
      </c>
      <c r="V23" s="17">
        <f t="shared" si="11"/>
        <v>0</v>
      </c>
      <c r="W23" s="17">
        <f t="shared" si="12"/>
        <v>0</v>
      </c>
      <c r="X23" s="17">
        <f t="shared" si="13"/>
        <v>0</v>
      </c>
      <c r="Y23" s="17">
        <f t="shared" si="14"/>
        <v>0</v>
      </c>
      <c r="Z23" s="17">
        <f t="shared" si="15"/>
        <v>0</v>
      </c>
      <c r="AA23" s="17">
        <f t="shared" si="16"/>
        <v>0</v>
      </c>
      <c r="AB23" s="17">
        <f t="shared" si="17"/>
        <v>0</v>
      </c>
      <c r="AC23" s="17">
        <f t="shared" si="18"/>
        <v>0</v>
      </c>
      <c r="AD23" s="17">
        <f t="shared" si="19"/>
        <v>0</v>
      </c>
      <c r="AE23" s="17">
        <f t="shared" si="20"/>
        <v>0</v>
      </c>
      <c r="AF23" s="17">
        <f t="shared" si="21"/>
        <v>0</v>
      </c>
      <c r="AG23" s="17">
        <f t="shared" si="22"/>
        <v>0</v>
      </c>
      <c r="AH23" s="17">
        <f t="shared" si="23"/>
        <v>0</v>
      </c>
      <c r="AI23" s="17">
        <f t="shared" si="24"/>
        <v>0</v>
      </c>
      <c r="AJ23" s="17">
        <f t="shared" ref="AJ23:AJ24" si="50">C870</f>
        <v>0</v>
      </c>
      <c r="AK23" s="17">
        <f t="shared" ref="AK23:AK24" si="51">C904</f>
        <v>0</v>
      </c>
      <c r="AL23" s="17">
        <f t="shared" ref="AL23:AL24" si="52">C938</f>
        <v>0</v>
      </c>
      <c r="AM23" s="17">
        <f t="shared" ref="AM23:AM24" si="53">C972</f>
        <v>0</v>
      </c>
      <c r="AN23" s="17">
        <f t="shared" ref="AN23:AN24" si="54">C1006</f>
        <v>0</v>
      </c>
      <c r="AO23" s="17">
        <f t="shared" ref="AO23:AO24" si="55">C1040</f>
        <v>0</v>
      </c>
      <c r="AP23" s="17">
        <f t="shared" ref="AP23:AP24" si="56">C1074</f>
        <v>0</v>
      </c>
      <c r="AQ23" s="17">
        <f t="shared" ref="AQ23:AQ24" si="57">C1108</f>
        <v>0</v>
      </c>
      <c r="AR23" s="17">
        <f t="shared" ref="AR23:AR24" si="58">C1142</f>
        <v>0</v>
      </c>
      <c r="AS23" s="17">
        <f t="shared" ref="AS23:AS24" si="59">C1176</f>
        <v>0</v>
      </c>
      <c r="AT23" s="17">
        <f t="shared" ref="AT23:AT24" si="60">C1210</f>
        <v>0</v>
      </c>
      <c r="AU23" s="17">
        <f t="shared" ref="AU23:AU24" si="61">C1244</f>
        <v>0</v>
      </c>
      <c r="AV23" s="17">
        <f t="shared" ref="AV23:AV24" si="62">C1278</f>
        <v>0</v>
      </c>
      <c r="AW23" s="17">
        <f t="shared" ref="AW23:AW24" si="63">C1312</f>
        <v>0</v>
      </c>
      <c r="AX23" s="17">
        <f t="shared" ref="AX23:AX24" si="64">C1346</f>
        <v>0</v>
      </c>
      <c r="AY23" s="17">
        <f t="shared" ref="AY23:AY24" si="65">C1380</f>
        <v>0</v>
      </c>
      <c r="AZ23" s="17">
        <f t="shared" ref="AZ23:AZ24" si="66">C1414</f>
        <v>0</v>
      </c>
      <c r="BA23" s="17">
        <f t="shared" ref="BA23:BA24" si="67">C1448</f>
        <v>0</v>
      </c>
      <c r="BB23" s="17">
        <f t="shared" ref="BB23:BB24" si="68">C1482</f>
        <v>0</v>
      </c>
      <c r="BC23" s="17">
        <f t="shared" ref="BC23:BC24" si="69">C1516</f>
        <v>0</v>
      </c>
      <c r="BD23" s="17">
        <f t="shared" ref="BD23:BD24" si="70">C1550</f>
        <v>0</v>
      </c>
      <c r="BE23" s="17">
        <f t="shared" ref="BE23:BE24" si="71">C1584</f>
        <v>0</v>
      </c>
      <c r="BF23" s="17">
        <f t="shared" ref="BF23:BF24" si="72">C1618</f>
        <v>0</v>
      </c>
      <c r="BG23" s="17">
        <f t="shared" ref="BG23:BG24" si="73">C1652</f>
        <v>0</v>
      </c>
    </row>
    <row r="24" spans="1:69" s="7" customFormat="1">
      <c r="A24" s="33">
        <v>8</v>
      </c>
      <c r="B24" s="32" t="s">
        <v>62</v>
      </c>
      <c r="C24" s="379">
        <f>SUMIF(L24:BG24,$L$16)</f>
        <v>0</v>
      </c>
      <c r="D24" s="380"/>
      <c r="F24" s="65">
        <f>IF('Анализ стоимости'!AJ18&gt;0,'Анализ стоимости'!A18,0)</f>
        <v>0</v>
      </c>
      <c r="G24" s="19"/>
      <c r="H24" s="19"/>
      <c r="I24" s="2"/>
      <c r="J24" s="362">
        <v>1</v>
      </c>
      <c r="L24" s="17">
        <f t="shared" si="1"/>
        <v>0</v>
      </c>
      <c r="M24" s="17">
        <f t="shared" si="2"/>
        <v>0</v>
      </c>
      <c r="N24" s="17">
        <f t="shared" si="3"/>
        <v>0</v>
      </c>
      <c r="O24" s="17">
        <f t="shared" si="4"/>
        <v>0</v>
      </c>
      <c r="P24" s="17">
        <f t="shared" si="5"/>
        <v>0</v>
      </c>
      <c r="Q24" s="17">
        <f t="shared" si="6"/>
        <v>0</v>
      </c>
      <c r="R24" s="17">
        <f t="shared" si="7"/>
        <v>0</v>
      </c>
      <c r="S24" s="17">
        <f t="shared" si="8"/>
        <v>0</v>
      </c>
      <c r="T24" s="17">
        <f t="shared" si="9"/>
        <v>0</v>
      </c>
      <c r="U24" s="17">
        <f t="shared" si="10"/>
        <v>0</v>
      </c>
      <c r="V24" s="17">
        <f t="shared" si="11"/>
        <v>0</v>
      </c>
      <c r="W24" s="17">
        <f t="shared" si="12"/>
        <v>0</v>
      </c>
      <c r="X24" s="17">
        <f t="shared" si="13"/>
        <v>0</v>
      </c>
      <c r="Y24" s="17">
        <f t="shared" si="14"/>
        <v>0</v>
      </c>
      <c r="Z24" s="17">
        <f t="shared" si="15"/>
        <v>0</v>
      </c>
      <c r="AA24" s="17">
        <f t="shared" si="16"/>
        <v>0</v>
      </c>
      <c r="AB24" s="17">
        <f t="shared" si="17"/>
        <v>0</v>
      </c>
      <c r="AC24" s="17">
        <f t="shared" si="18"/>
        <v>0</v>
      </c>
      <c r="AD24" s="17">
        <f t="shared" si="19"/>
        <v>0</v>
      </c>
      <c r="AE24" s="17">
        <f t="shared" si="20"/>
        <v>0</v>
      </c>
      <c r="AF24" s="17">
        <f t="shared" si="21"/>
        <v>0</v>
      </c>
      <c r="AG24" s="17">
        <f t="shared" si="22"/>
        <v>0</v>
      </c>
      <c r="AH24" s="17">
        <f t="shared" si="23"/>
        <v>0</v>
      </c>
      <c r="AI24" s="17">
        <f t="shared" si="24"/>
        <v>0</v>
      </c>
      <c r="AJ24" s="17">
        <f t="shared" si="50"/>
        <v>0</v>
      </c>
      <c r="AK24" s="17">
        <f t="shared" si="51"/>
        <v>0</v>
      </c>
      <c r="AL24" s="17">
        <f t="shared" si="52"/>
        <v>0</v>
      </c>
      <c r="AM24" s="17">
        <f t="shared" si="53"/>
        <v>0</v>
      </c>
      <c r="AN24" s="17">
        <f t="shared" si="54"/>
        <v>0</v>
      </c>
      <c r="AO24" s="17">
        <f t="shared" si="55"/>
        <v>0</v>
      </c>
      <c r="AP24" s="17">
        <f t="shared" si="56"/>
        <v>0</v>
      </c>
      <c r="AQ24" s="17">
        <f t="shared" si="57"/>
        <v>0</v>
      </c>
      <c r="AR24" s="17">
        <f t="shared" si="58"/>
        <v>0</v>
      </c>
      <c r="AS24" s="17">
        <f t="shared" si="59"/>
        <v>0</v>
      </c>
      <c r="AT24" s="17">
        <f t="shared" si="60"/>
        <v>0</v>
      </c>
      <c r="AU24" s="17">
        <f t="shared" si="61"/>
        <v>0</v>
      </c>
      <c r="AV24" s="17">
        <f t="shared" si="62"/>
        <v>0</v>
      </c>
      <c r="AW24" s="17">
        <f t="shared" si="63"/>
        <v>0</v>
      </c>
      <c r="AX24" s="17">
        <f t="shared" si="64"/>
        <v>0</v>
      </c>
      <c r="AY24" s="17">
        <f t="shared" si="65"/>
        <v>0</v>
      </c>
      <c r="AZ24" s="17">
        <f t="shared" si="66"/>
        <v>0</v>
      </c>
      <c r="BA24" s="17">
        <f t="shared" si="67"/>
        <v>0</v>
      </c>
      <c r="BB24" s="17">
        <f t="shared" si="68"/>
        <v>0</v>
      </c>
      <c r="BC24" s="17">
        <f t="shared" si="69"/>
        <v>0</v>
      </c>
      <c r="BD24" s="17">
        <f t="shared" si="70"/>
        <v>0</v>
      </c>
      <c r="BE24" s="17">
        <f t="shared" si="71"/>
        <v>0</v>
      </c>
      <c r="BF24" s="17">
        <f t="shared" si="72"/>
        <v>0</v>
      </c>
      <c r="BG24" s="17">
        <f t="shared" si="73"/>
        <v>0</v>
      </c>
    </row>
    <row r="25" spans="1:69" s="7" customFormat="1">
      <c r="A25" s="33">
        <v>9</v>
      </c>
      <c r="B25" s="32" t="s">
        <v>127</v>
      </c>
      <c r="C25" s="379">
        <f>SUM(C17:D24)</f>
        <v>917638</v>
      </c>
      <c r="D25" s="380"/>
      <c r="E25" s="56">
        <f>'Анализ стоимости'!AJ103</f>
        <v>917638</v>
      </c>
      <c r="F25" s="65">
        <f>IF('Анализ стоимости'!AJ19&gt;0,'Анализ стоимости'!A19,0)</f>
        <v>0</v>
      </c>
      <c r="G25" s="19"/>
      <c r="H25" s="19"/>
      <c r="I25" s="2"/>
      <c r="J25" s="362">
        <v>1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</row>
    <row r="26" spans="1:69">
      <c r="A26" s="384" t="s">
        <v>122</v>
      </c>
      <c r="B26" s="384"/>
      <c r="C26" s="384"/>
      <c r="D26" s="384"/>
      <c r="F26" s="65">
        <f>IF('Анализ стоимости'!AJ20&gt;0,'Анализ стоимости'!A20,0)</f>
        <v>0</v>
      </c>
      <c r="J26" s="362">
        <v>1</v>
      </c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</row>
    <row r="27" spans="1:69" ht="31.5">
      <c r="A27" s="35" t="s">
        <v>67</v>
      </c>
      <c r="B27" s="63" t="s">
        <v>21</v>
      </c>
      <c r="C27" s="63" t="s">
        <v>114</v>
      </c>
      <c r="D27" s="63" t="s">
        <v>99</v>
      </c>
      <c r="F27" s="65">
        <f>IF('Анализ стоимости'!AJ21&gt;0,'Анализ стоимости'!A21,0)</f>
        <v>0</v>
      </c>
      <c r="J27" s="362">
        <v>1</v>
      </c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</row>
    <row r="28" spans="1:69" s="7" customFormat="1">
      <c r="A28" s="33">
        <f>IF(D28=0,0,A25+1)</f>
        <v>10</v>
      </c>
      <c r="B28" s="32" t="str">
        <f>"Рост стоимости "&amp;'Анализ стоимости'!$AW$1&amp;" г."</f>
        <v>Рост стоимости 2018 г.</v>
      </c>
      <c r="C28" s="33" t="s">
        <v>116</v>
      </c>
      <c r="D28" s="34">
        <f>SUMIF(L28:BG28,$L$16)</f>
        <v>56068</v>
      </c>
      <c r="F28" s="65">
        <f>IF('Анализ стоимости'!AJ22&gt;0,'Анализ стоимости'!A22,0)</f>
        <v>0</v>
      </c>
      <c r="G28" s="19"/>
      <c r="H28" s="19"/>
      <c r="I28" s="2"/>
      <c r="J28" s="362">
        <f>IF(D28=0,"Пустая строка (убрать галочку)",1)</f>
        <v>1</v>
      </c>
      <c r="L28" s="17">
        <f>D62</f>
        <v>56068</v>
      </c>
      <c r="M28" s="17">
        <f>D96</f>
        <v>0</v>
      </c>
      <c r="N28" s="17">
        <f>D130</f>
        <v>0</v>
      </c>
      <c r="O28" s="17">
        <f>D164</f>
        <v>0</v>
      </c>
      <c r="P28" s="17">
        <f>D198</f>
        <v>0</v>
      </c>
      <c r="Q28" s="17">
        <f>D232</f>
        <v>0</v>
      </c>
      <c r="R28" s="17">
        <f>D266</f>
        <v>0</v>
      </c>
      <c r="S28" s="17">
        <f>D300</f>
        <v>0</v>
      </c>
      <c r="T28" s="17">
        <f>D334</f>
        <v>0</v>
      </c>
      <c r="U28" s="17">
        <f>D368</f>
        <v>0</v>
      </c>
      <c r="V28" s="17">
        <f>D402</f>
        <v>0</v>
      </c>
      <c r="W28" s="17">
        <f>D436</f>
        <v>0</v>
      </c>
      <c r="X28" s="17">
        <f>D470</f>
        <v>0</v>
      </c>
      <c r="Y28" s="17">
        <f>D504</f>
        <v>0</v>
      </c>
      <c r="Z28" s="17">
        <f>D538</f>
        <v>0</v>
      </c>
      <c r="AA28" s="17">
        <f>D572</f>
        <v>0</v>
      </c>
      <c r="AB28" s="17">
        <f>D606</f>
        <v>0</v>
      </c>
      <c r="AC28" s="17">
        <f>D640</f>
        <v>0</v>
      </c>
      <c r="AD28" s="17">
        <f>D674</f>
        <v>0</v>
      </c>
      <c r="AE28" s="17">
        <f>D708</f>
        <v>0</v>
      </c>
      <c r="AF28" s="17">
        <f>D742</f>
        <v>0</v>
      </c>
      <c r="AG28" s="17">
        <f>D776</f>
        <v>0</v>
      </c>
      <c r="AH28" s="17">
        <f>D810</f>
        <v>0</v>
      </c>
      <c r="AI28" s="17">
        <f>D844</f>
        <v>0</v>
      </c>
      <c r="AJ28" s="17">
        <f>D878</f>
        <v>0</v>
      </c>
      <c r="AK28" s="17">
        <f>D912</f>
        <v>0</v>
      </c>
      <c r="AL28" s="17">
        <f>D946</f>
        <v>0</v>
      </c>
      <c r="AM28" s="17">
        <f>D980</f>
        <v>0</v>
      </c>
      <c r="AN28" s="17">
        <f>D1014</f>
        <v>0</v>
      </c>
      <c r="AO28" s="17">
        <f>D1048</f>
        <v>0</v>
      </c>
      <c r="AP28" s="17">
        <f>D1082</f>
        <v>0</v>
      </c>
      <c r="AQ28" s="17">
        <f>D1116</f>
        <v>0</v>
      </c>
      <c r="AR28" s="17">
        <f>D1150</f>
        <v>0</v>
      </c>
      <c r="AS28" s="17">
        <f>D1184</f>
        <v>0</v>
      </c>
      <c r="AT28" s="17">
        <f>D1218</f>
        <v>0</v>
      </c>
      <c r="AU28" s="17">
        <f>D1252</f>
        <v>0</v>
      </c>
      <c r="AV28" s="17">
        <f>D1286</f>
        <v>0</v>
      </c>
      <c r="AW28" s="17">
        <f>D1320</f>
        <v>0</v>
      </c>
      <c r="AX28" s="17">
        <f>D1354</f>
        <v>0</v>
      </c>
      <c r="AY28" s="17">
        <f>D1388</f>
        <v>0</v>
      </c>
      <c r="AZ28" s="17">
        <f>D1422</f>
        <v>0</v>
      </c>
      <c r="BA28" s="17">
        <f>D1456</f>
        <v>0</v>
      </c>
      <c r="BB28" s="17">
        <f>D1490</f>
        <v>0</v>
      </c>
      <c r="BC28" s="17">
        <f>D1524</f>
        <v>0</v>
      </c>
      <c r="BD28" s="17">
        <f>D1558</f>
        <v>0</v>
      </c>
      <c r="BE28" s="17">
        <f>D1592</f>
        <v>0</v>
      </c>
      <c r="BF28" s="17">
        <f>D1626</f>
        <v>0</v>
      </c>
      <c r="BG28" s="17">
        <f>D1660</f>
        <v>0</v>
      </c>
      <c r="BJ28" s="72" t="e">
        <f>$D$33/$D$37</f>
        <v>#DIV/0!</v>
      </c>
      <c r="BK28" s="7" t="e">
        <f t="shared" ref="BK28:BK39" si="74">ROUND($BM28*$D$37,0)=$D$33</f>
        <v>#DIV/0!</v>
      </c>
      <c r="BL28" s="7" t="e">
        <f t="shared" ref="BL28:BL34" si="75">CONCATENATE(BK28,BQ28)</f>
        <v>#DIV/0!</v>
      </c>
      <c r="BM28" s="85" t="e">
        <f>ROUND($BJ$28,1)</f>
        <v>#DIV/0!</v>
      </c>
      <c r="BN28" s="7" t="e">
        <f t="shared" ref="BN28:BN39" si="76">ROUND($BP28*$D$37,0)=$D$36</f>
        <v>#DIV/0!</v>
      </c>
      <c r="BO28" s="7" t="e">
        <f>CONCATENATE(BN28,BP27)</f>
        <v>#DIV/0!</v>
      </c>
      <c r="BP28" s="85" t="e">
        <f>ROUND($BJ$29,1)</f>
        <v>#DIV/0!</v>
      </c>
      <c r="BQ28" s="7" t="e">
        <f>BK28=BN28</f>
        <v>#DIV/0!</v>
      </c>
    </row>
    <row r="29" spans="1:69" s="7" customFormat="1" hidden="1">
      <c r="A29" s="33">
        <f>IF(D29=0,0,IF(D28=0,A25+1,A28+1))</f>
        <v>0</v>
      </c>
      <c r="B29" s="32" t="str">
        <f>"Рост стоимости "&amp;'Анализ стоимости'!$AX$1&amp;" г."</f>
        <v>Рост стоимости 2019 г.</v>
      </c>
      <c r="C29" s="33" t="s">
        <v>116</v>
      </c>
      <c r="D29" s="34">
        <f>SUMIF(L29:BG29,$L$16)</f>
        <v>0</v>
      </c>
      <c r="F29" s="65">
        <f>IF('Анализ стоимости'!AJ23&gt;0,'Анализ стоимости'!A23,0)</f>
        <v>0</v>
      </c>
      <c r="G29" s="19"/>
      <c r="H29" s="19"/>
      <c r="I29" s="2"/>
      <c r="J29" s="362" t="str">
        <f>IF(D29=0,"Пустая строка (убрать галочку)",1)</f>
        <v>Пустая строка (убрать галочку)</v>
      </c>
      <c r="L29" s="17">
        <f>D63</f>
        <v>0</v>
      </c>
      <c r="M29" s="17">
        <f>D97</f>
        <v>0</v>
      </c>
      <c r="N29" s="17">
        <f>D131</f>
        <v>0</v>
      </c>
      <c r="O29" s="17">
        <f>D165</f>
        <v>0</v>
      </c>
      <c r="P29" s="17">
        <f>D199</f>
        <v>0</v>
      </c>
      <c r="Q29" s="17">
        <f>D233</f>
        <v>0</v>
      </c>
      <c r="R29" s="17">
        <f>D267</f>
        <v>0</v>
      </c>
      <c r="S29" s="17">
        <f>D301</f>
        <v>0</v>
      </c>
      <c r="T29" s="17">
        <f>D335</f>
        <v>0</v>
      </c>
      <c r="U29" s="17">
        <f>D369</f>
        <v>0</v>
      </c>
      <c r="V29" s="17">
        <f>D403</f>
        <v>0</v>
      </c>
      <c r="W29" s="17">
        <f>D437</f>
        <v>0</v>
      </c>
      <c r="X29" s="17">
        <f>D471</f>
        <v>0</v>
      </c>
      <c r="Y29" s="17">
        <f>D505</f>
        <v>0</v>
      </c>
      <c r="Z29" s="17">
        <f>D539</f>
        <v>0</v>
      </c>
      <c r="AA29" s="17">
        <f>D573</f>
        <v>0</v>
      </c>
      <c r="AB29" s="17">
        <f>D607</f>
        <v>0</v>
      </c>
      <c r="AC29" s="17">
        <f>D641</f>
        <v>0</v>
      </c>
      <c r="AD29" s="17">
        <f>D675</f>
        <v>0</v>
      </c>
      <c r="AE29" s="17">
        <f>D709</f>
        <v>0</v>
      </c>
      <c r="AF29" s="17">
        <f>D743</f>
        <v>0</v>
      </c>
      <c r="AG29" s="17">
        <f>D777</f>
        <v>0</v>
      </c>
      <c r="AH29" s="17">
        <f>D811</f>
        <v>0</v>
      </c>
      <c r="AI29" s="17">
        <f>D845</f>
        <v>0</v>
      </c>
      <c r="AJ29" s="17">
        <f>D879</f>
        <v>0</v>
      </c>
      <c r="AK29" s="17">
        <f>D913</f>
        <v>0</v>
      </c>
      <c r="AL29" s="17">
        <f>D947</f>
        <v>0</v>
      </c>
      <c r="AM29" s="17">
        <f>D981</f>
        <v>0</v>
      </c>
      <c r="AN29" s="17">
        <f>D1015</f>
        <v>0</v>
      </c>
      <c r="AO29" s="17">
        <f>D1049</f>
        <v>0</v>
      </c>
      <c r="AP29" s="17">
        <f>D1083</f>
        <v>0</v>
      </c>
      <c r="AQ29" s="17">
        <f>D1117</f>
        <v>0</v>
      </c>
      <c r="AR29" s="17">
        <f>D1151</f>
        <v>0</v>
      </c>
      <c r="AS29" s="17">
        <f>D1185</f>
        <v>0</v>
      </c>
      <c r="AT29" s="17">
        <f>D1219</f>
        <v>0</v>
      </c>
      <c r="AU29" s="17">
        <f>D1253</f>
        <v>0</v>
      </c>
      <c r="AV29" s="17">
        <f>D1287</f>
        <v>0</v>
      </c>
      <c r="AW29" s="17">
        <f>D1321</f>
        <v>0</v>
      </c>
      <c r="AX29" s="17">
        <f>D1355</f>
        <v>0</v>
      </c>
      <c r="AY29" s="17">
        <f>D1389</f>
        <v>0</v>
      </c>
      <c r="AZ29" s="17">
        <f>D1423</f>
        <v>0</v>
      </c>
      <c r="BA29" s="17">
        <f>D1457</f>
        <v>0</v>
      </c>
      <c r="BB29" s="17">
        <f>D1491</f>
        <v>0</v>
      </c>
      <c r="BC29" s="17">
        <f>D1525</f>
        <v>0</v>
      </c>
      <c r="BD29" s="17">
        <f>D1559</f>
        <v>0</v>
      </c>
      <c r="BE29" s="17">
        <f>D1593</f>
        <v>0</v>
      </c>
      <c r="BF29" s="17">
        <f>D1627</f>
        <v>0</v>
      </c>
      <c r="BG29" s="17">
        <f>D1661</f>
        <v>0</v>
      </c>
      <c r="BJ29" s="72" t="e">
        <f>$D$36/$D$37</f>
        <v>#DIV/0!</v>
      </c>
      <c r="BK29" s="7" t="e">
        <f t="shared" si="74"/>
        <v>#DIV/0!</v>
      </c>
      <c r="BL29" s="7" t="e">
        <f t="shared" si="75"/>
        <v>#DIV/0!</v>
      </c>
      <c r="BM29" s="86" t="e">
        <f>ROUND($BJ$28,2)</f>
        <v>#DIV/0!</v>
      </c>
      <c r="BN29" s="7" t="e">
        <f t="shared" si="76"/>
        <v>#DIV/0!</v>
      </c>
      <c r="BO29" s="7" t="e">
        <f t="shared" ref="BO29:BO35" si="77">CONCATENATE(BN29,BQ28)</f>
        <v>#DIV/0!</v>
      </c>
      <c r="BP29" s="86" t="e">
        <f>ROUND($BJ$29,2)</f>
        <v>#DIV/0!</v>
      </c>
      <c r="BQ29" s="7" t="e">
        <f t="shared" ref="BQ29:BQ39" si="78">BK29=BN29</f>
        <v>#DIV/0!</v>
      </c>
    </row>
    <row r="30" spans="1:69">
      <c r="A30" s="384" t="s">
        <v>117</v>
      </c>
      <c r="B30" s="384"/>
      <c r="C30" s="384"/>
      <c r="D30" s="384"/>
      <c r="F30" s="65">
        <f>IF('Анализ стоимости'!AJ24&gt;0,'Анализ стоимости'!A24,0)</f>
        <v>0</v>
      </c>
      <c r="J30" s="362">
        <v>1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BJ30" s="7"/>
      <c r="BK30" s="7" t="e">
        <f t="shared" si="74"/>
        <v>#DIV/0!</v>
      </c>
      <c r="BL30" s="7" t="e">
        <f t="shared" si="75"/>
        <v>#DIV/0!</v>
      </c>
      <c r="BM30" s="87" t="e">
        <f>ROUND($BJ$28,3)</f>
        <v>#DIV/0!</v>
      </c>
      <c r="BN30" s="7" t="e">
        <f t="shared" si="76"/>
        <v>#DIV/0!</v>
      </c>
      <c r="BO30" s="7" t="e">
        <f t="shared" si="77"/>
        <v>#DIV/0!</v>
      </c>
      <c r="BP30" s="87" t="e">
        <f>ROUND($BJ$29,3)</f>
        <v>#DIV/0!</v>
      </c>
      <c r="BQ30" s="7" t="e">
        <f t="shared" si="78"/>
        <v>#DIV/0!</v>
      </c>
    </row>
    <row r="31" spans="1:69" s="7" customFormat="1" ht="31.5">
      <c r="A31" s="33">
        <f>IF(D31=0,0,IF(D29=0,IF(D28=0,A25+1,A28+1),A29+1))</f>
        <v>11</v>
      </c>
      <c r="B3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31" s="33" t="s">
        <v>116</v>
      </c>
      <c r="D31" s="34">
        <f>SUMIF(L31:BG31,$L$16)</f>
        <v>973706</v>
      </c>
      <c r="F31" s="65">
        <f>IF('Анализ стоимости'!AJ25&gt;0,'Анализ стоимости'!A25,0)</f>
        <v>0</v>
      </c>
      <c r="G31" s="19"/>
      <c r="H31" s="19"/>
      <c r="I31" s="2"/>
      <c r="J31" s="362">
        <f t="shared" ref="J31:J37" si="79">IF(D31=0,"Пустая строка (убрать галочку)",1)</f>
        <v>1</v>
      </c>
      <c r="L31" s="17">
        <f>D65</f>
        <v>973706</v>
      </c>
      <c r="M31" s="17">
        <f>D99</f>
        <v>0</v>
      </c>
      <c r="N31" s="17">
        <f>D133</f>
        <v>0</v>
      </c>
      <c r="O31" s="17">
        <f>D167</f>
        <v>0</v>
      </c>
      <c r="P31" s="17">
        <f>D201</f>
        <v>0</v>
      </c>
      <c r="Q31" s="17">
        <f>D235</f>
        <v>0</v>
      </c>
      <c r="R31" s="17">
        <f>D269</f>
        <v>0</v>
      </c>
      <c r="S31" s="17">
        <f>D303</f>
        <v>0</v>
      </c>
      <c r="T31" s="17">
        <f>D337</f>
        <v>0</v>
      </c>
      <c r="U31" s="17">
        <f>D371</f>
        <v>0</v>
      </c>
      <c r="V31" s="17">
        <f>D405</f>
        <v>0</v>
      </c>
      <c r="W31" s="17">
        <f>D439</f>
        <v>0</v>
      </c>
      <c r="X31" s="17">
        <f>D473</f>
        <v>0</v>
      </c>
      <c r="Y31" s="17">
        <f>D507</f>
        <v>0</v>
      </c>
      <c r="Z31" s="17">
        <f>D541</f>
        <v>0</v>
      </c>
      <c r="AA31" s="17">
        <f>D575</f>
        <v>0</v>
      </c>
      <c r="AB31" s="17">
        <f>D609</f>
        <v>0</v>
      </c>
      <c r="AC31" s="17">
        <f>D643</f>
        <v>0</v>
      </c>
      <c r="AD31" s="17">
        <f>D677</f>
        <v>0</v>
      </c>
      <c r="AE31" s="17">
        <f>D711</f>
        <v>0</v>
      </c>
      <c r="AF31" s="17">
        <f>D745</f>
        <v>0</v>
      </c>
      <c r="AG31" s="17">
        <f>D779</f>
        <v>0</v>
      </c>
      <c r="AH31" s="17">
        <f>D813</f>
        <v>0</v>
      </c>
      <c r="AI31" s="17">
        <f>D847</f>
        <v>0</v>
      </c>
      <c r="AJ31" s="17">
        <f>D881</f>
        <v>0</v>
      </c>
      <c r="AK31" s="17">
        <f>D915</f>
        <v>0</v>
      </c>
      <c r="AL31" s="17">
        <f>D949</f>
        <v>0</v>
      </c>
      <c r="AM31" s="17">
        <f>D983</f>
        <v>0</v>
      </c>
      <c r="AN31" s="17">
        <f>D1017</f>
        <v>0</v>
      </c>
      <c r="AO31" s="17">
        <f>D1051</f>
        <v>0</v>
      </c>
      <c r="AP31" s="17">
        <f>D1085</f>
        <v>0</v>
      </c>
      <c r="AQ31" s="17">
        <f>D1119</f>
        <v>0</v>
      </c>
      <c r="AR31" s="17">
        <f>D1153</f>
        <v>0</v>
      </c>
      <c r="AS31" s="17">
        <f>D1187</f>
        <v>0</v>
      </c>
      <c r="AT31" s="17">
        <f>D1221</f>
        <v>0</v>
      </c>
      <c r="AU31" s="17">
        <f>D1255</f>
        <v>0</v>
      </c>
      <c r="AV31" s="17">
        <f>D1289</f>
        <v>0</v>
      </c>
      <c r="AW31" s="17">
        <f>D1323</f>
        <v>0</v>
      </c>
      <c r="AX31" s="17">
        <f>D1357</f>
        <v>0</v>
      </c>
      <c r="AY31" s="17">
        <f>D1391</f>
        <v>0</v>
      </c>
      <c r="AZ31" s="17">
        <f>D1425</f>
        <v>0</v>
      </c>
      <c r="BA31" s="17">
        <f>D1459</f>
        <v>0</v>
      </c>
      <c r="BB31" s="17">
        <f>D1493</f>
        <v>0</v>
      </c>
      <c r="BC31" s="17">
        <f>D1527</f>
        <v>0</v>
      </c>
      <c r="BD31" s="17">
        <f>D1561</f>
        <v>0</v>
      </c>
      <c r="BE31" s="17">
        <f>D1595</f>
        <v>0</v>
      </c>
      <c r="BF31" s="17">
        <f>D1629</f>
        <v>0</v>
      </c>
      <c r="BG31" s="17">
        <f>D1663</f>
        <v>0</v>
      </c>
      <c r="BK31" s="7" t="e">
        <f t="shared" si="74"/>
        <v>#DIV/0!</v>
      </c>
      <c r="BL31" s="7" t="e">
        <f t="shared" si="75"/>
        <v>#DIV/0!</v>
      </c>
      <c r="BM31" s="88" t="e">
        <f>ROUND($BJ$28,4)</f>
        <v>#DIV/0!</v>
      </c>
      <c r="BN31" s="7" t="e">
        <f t="shared" si="76"/>
        <v>#DIV/0!</v>
      </c>
      <c r="BO31" s="7" t="e">
        <f t="shared" si="77"/>
        <v>#DIV/0!</v>
      </c>
      <c r="BP31" s="88" t="e">
        <f>ROUND($BJ$29,4)</f>
        <v>#DIV/0!</v>
      </c>
      <c r="BQ31" s="7" t="e">
        <f t="shared" si="78"/>
        <v>#DIV/0!</v>
      </c>
    </row>
    <row r="32" spans="1:69" s="7" customFormat="1">
      <c r="A32" s="33">
        <f>IF(D32=0,0,A31+1)</f>
        <v>12</v>
      </c>
      <c r="B32" s="45" t="s">
        <v>119</v>
      </c>
      <c r="C32" s="33" t="s">
        <v>116</v>
      </c>
      <c r="D32" s="34">
        <f>SUMIF(L32:BG32,$L$16)</f>
        <v>175267</v>
      </c>
      <c r="F32" s="65">
        <f>IF('Анализ стоимости'!AJ26&gt;0,'Анализ стоимости'!A26,0)</f>
        <v>0</v>
      </c>
      <c r="G32" s="19"/>
      <c r="H32" s="40"/>
      <c r="I32" s="2"/>
      <c r="J32" s="362">
        <f t="shared" si="79"/>
        <v>1</v>
      </c>
      <c r="L32" s="17">
        <f>D66</f>
        <v>175267</v>
      </c>
      <c r="M32" s="17">
        <f>D100</f>
        <v>0</v>
      </c>
      <c r="N32" s="17">
        <f>D134</f>
        <v>0</v>
      </c>
      <c r="O32" s="17">
        <f>D168</f>
        <v>0</v>
      </c>
      <c r="P32" s="17">
        <f>D202</f>
        <v>0</v>
      </c>
      <c r="Q32" s="17">
        <f>D236</f>
        <v>0</v>
      </c>
      <c r="R32" s="17">
        <f>D270</f>
        <v>0</v>
      </c>
      <c r="S32" s="17">
        <f>D304</f>
        <v>0</v>
      </c>
      <c r="T32" s="17">
        <f>D338</f>
        <v>0</v>
      </c>
      <c r="U32" s="17">
        <f>D372</f>
        <v>0</v>
      </c>
      <c r="V32" s="17">
        <f>D406</f>
        <v>0</v>
      </c>
      <c r="W32" s="17">
        <f>D440</f>
        <v>0</v>
      </c>
      <c r="X32" s="17">
        <f>D474</f>
        <v>0</v>
      </c>
      <c r="Y32" s="17">
        <f>D508</f>
        <v>0</v>
      </c>
      <c r="Z32" s="17">
        <f>D542</f>
        <v>0</v>
      </c>
      <c r="AA32" s="17">
        <f>D576</f>
        <v>0</v>
      </c>
      <c r="AB32" s="17">
        <f>D610</f>
        <v>0</v>
      </c>
      <c r="AC32" s="17">
        <f>D644</f>
        <v>0</v>
      </c>
      <c r="AD32" s="17">
        <f>D678</f>
        <v>0</v>
      </c>
      <c r="AE32" s="17">
        <f>D712</f>
        <v>0</v>
      </c>
      <c r="AF32" s="17">
        <f>D746</f>
        <v>0</v>
      </c>
      <c r="AG32" s="17">
        <f>D780</f>
        <v>0</v>
      </c>
      <c r="AH32" s="17">
        <f>D814</f>
        <v>0</v>
      </c>
      <c r="AI32" s="17">
        <f>D848</f>
        <v>0</v>
      </c>
      <c r="AJ32" s="17">
        <f>D882</f>
        <v>0</v>
      </c>
      <c r="AK32" s="17">
        <f>D916</f>
        <v>0</v>
      </c>
      <c r="AL32" s="17">
        <f>D950</f>
        <v>0</v>
      </c>
      <c r="AM32" s="17">
        <f>D984</f>
        <v>0</v>
      </c>
      <c r="AN32" s="17">
        <f>D1018</f>
        <v>0</v>
      </c>
      <c r="AO32" s="17">
        <f>D1052</f>
        <v>0</v>
      </c>
      <c r="AP32" s="17">
        <f>D1086</f>
        <v>0</v>
      </c>
      <c r="AQ32" s="17">
        <f>D1120</f>
        <v>0</v>
      </c>
      <c r="AR32" s="17">
        <f>D1154</f>
        <v>0</v>
      </c>
      <c r="AS32" s="17">
        <f>D1188</f>
        <v>0</v>
      </c>
      <c r="AT32" s="17">
        <f>D1222</f>
        <v>0</v>
      </c>
      <c r="AU32" s="17">
        <f>D1256</f>
        <v>0</v>
      </c>
      <c r="AV32" s="17">
        <f>D1290</f>
        <v>0</v>
      </c>
      <c r="AW32" s="17">
        <f>D1324</f>
        <v>0</v>
      </c>
      <c r="AX32" s="17">
        <f>D1358</f>
        <v>0</v>
      </c>
      <c r="AY32" s="17">
        <f>D1392</f>
        <v>0</v>
      </c>
      <c r="AZ32" s="17">
        <f>D1426</f>
        <v>0</v>
      </c>
      <c r="BA32" s="17">
        <f>D1460</f>
        <v>0</v>
      </c>
      <c r="BB32" s="17">
        <f>D1494</f>
        <v>0</v>
      </c>
      <c r="BC32" s="17">
        <f>D1528</f>
        <v>0</v>
      </c>
      <c r="BD32" s="17">
        <f>D1562</f>
        <v>0</v>
      </c>
      <c r="BE32" s="17">
        <f>D1596</f>
        <v>0</v>
      </c>
      <c r="BF32" s="17">
        <f>D1630</f>
        <v>0</v>
      </c>
      <c r="BG32" s="17">
        <f>D1664</f>
        <v>0</v>
      </c>
      <c r="BK32" s="7" t="e">
        <f t="shared" si="74"/>
        <v>#DIV/0!</v>
      </c>
      <c r="BL32" s="7" t="e">
        <f t="shared" si="75"/>
        <v>#DIV/0!</v>
      </c>
      <c r="BM32" s="89" t="e">
        <f>ROUND($BJ$28,5)</f>
        <v>#DIV/0!</v>
      </c>
      <c r="BN32" s="7" t="e">
        <f t="shared" si="76"/>
        <v>#DIV/0!</v>
      </c>
      <c r="BO32" s="7" t="e">
        <f t="shared" si="77"/>
        <v>#DIV/0!</v>
      </c>
      <c r="BP32" s="89" t="e">
        <f>ROUND($BJ$29,5)</f>
        <v>#DIV/0!</v>
      </c>
      <c r="BQ32" s="7" t="e">
        <f t="shared" si="78"/>
        <v>#DIV/0!</v>
      </c>
    </row>
    <row r="33" spans="1:69" s="7" customFormat="1">
      <c r="A33" s="33">
        <f>IF(D33=0,0,A32+1)</f>
        <v>13</v>
      </c>
      <c r="B33" s="45" t="str">
        <f>"Всего с НДС на "&amp;'Анализ стоимости'!$AW$1&amp;" г."</f>
        <v>Всего с НДС на 2018 г.</v>
      </c>
      <c r="C33" s="33" t="s">
        <v>116</v>
      </c>
      <c r="D33" s="46">
        <f>SUM(D31:D32)</f>
        <v>1148973</v>
      </c>
      <c r="E33" s="56">
        <f>'Анализ стоимости'!AY103</f>
        <v>1148973</v>
      </c>
      <c r="F33" s="65">
        <f>IF('Анализ стоимости'!AJ27&gt;0,'Анализ стоимости'!A27,0)</f>
        <v>0</v>
      </c>
      <c r="G33" s="19"/>
      <c r="H33" s="41"/>
      <c r="I33" s="2"/>
      <c r="J33" s="362">
        <f t="shared" si="79"/>
        <v>1</v>
      </c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BI33" s="80">
        <f>IF(D29=0,0,VLOOKUP("ИСТИНАИСТИНА",BL28:BM39,2,0))</f>
        <v>0</v>
      </c>
      <c r="BJ33" s="3"/>
      <c r="BK33" s="7" t="e">
        <f t="shared" si="74"/>
        <v>#DIV/0!</v>
      </c>
      <c r="BL33" s="7" t="e">
        <f t="shared" si="75"/>
        <v>#DIV/0!</v>
      </c>
      <c r="BM33" s="90" t="e">
        <f>ROUND($BJ$28,6)</f>
        <v>#DIV/0!</v>
      </c>
      <c r="BN33" s="7" t="e">
        <f t="shared" si="76"/>
        <v>#DIV/0!</v>
      </c>
      <c r="BO33" s="7" t="e">
        <f t="shared" si="77"/>
        <v>#DIV/0!</v>
      </c>
      <c r="BP33" s="90" t="e">
        <f>ROUND($BJ$29,6)</f>
        <v>#DIV/0!</v>
      </c>
      <c r="BQ33" s="7" t="e">
        <f t="shared" si="78"/>
        <v>#DIV/0!</v>
      </c>
    </row>
    <row r="34" spans="1:69" s="7" customFormat="1" ht="31.5" hidden="1">
      <c r="A34" s="33">
        <f>IF(D34=0,0,IF(D33=0,IF(D29=0,A25+1,A29+1),A33+1))</f>
        <v>0</v>
      </c>
      <c r="B3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34" s="33" t="s">
        <v>116</v>
      </c>
      <c r="D34" s="34">
        <f>SUMIF(L34:BG34,$L$16)</f>
        <v>0</v>
      </c>
      <c r="E34" s="8"/>
      <c r="F34" s="65">
        <f>IF('Анализ стоимости'!AJ28&gt;0,'Анализ стоимости'!A28,0)</f>
        <v>0</v>
      </c>
      <c r="G34" s="19"/>
      <c r="H34" s="41"/>
      <c r="I34" s="2"/>
      <c r="J34" s="362" t="str">
        <f t="shared" si="79"/>
        <v>Пустая строка (убрать галочку)</v>
      </c>
      <c r="L34" s="17">
        <f>D68</f>
        <v>0</v>
      </c>
      <c r="M34" s="17">
        <f>D102</f>
        <v>0</v>
      </c>
      <c r="N34" s="17">
        <f>D136</f>
        <v>0</v>
      </c>
      <c r="O34" s="17">
        <f>D170</f>
        <v>0</v>
      </c>
      <c r="P34" s="17">
        <f>D204</f>
        <v>0</v>
      </c>
      <c r="Q34" s="17">
        <f>D238</f>
        <v>0</v>
      </c>
      <c r="R34" s="17">
        <f>D272</f>
        <v>0</v>
      </c>
      <c r="S34" s="17">
        <f>D306</f>
        <v>0</v>
      </c>
      <c r="T34" s="17">
        <f>D340</f>
        <v>0</v>
      </c>
      <c r="U34" s="17">
        <f>D374</f>
        <v>0</v>
      </c>
      <c r="V34" s="17">
        <f>D408</f>
        <v>0</v>
      </c>
      <c r="W34" s="17">
        <f>D442</f>
        <v>0</v>
      </c>
      <c r="X34" s="17">
        <f>D476</f>
        <v>0</v>
      </c>
      <c r="Y34" s="17">
        <f>D510</f>
        <v>0</v>
      </c>
      <c r="Z34" s="17">
        <f>D544</f>
        <v>0</v>
      </c>
      <c r="AA34" s="17">
        <f>D578</f>
        <v>0</v>
      </c>
      <c r="AB34" s="17">
        <f>D612</f>
        <v>0</v>
      </c>
      <c r="AC34" s="17">
        <f>D646</f>
        <v>0</v>
      </c>
      <c r="AD34" s="17">
        <f>D680</f>
        <v>0</v>
      </c>
      <c r="AE34" s="17">
        <f>D714</f>
        <v>0</v>
      </c>
      <c r="AF34" s="17">
        <f>D748</f>
        <v>0</v>
      </c>
      <c r="AG34" s="17">
        <f>D782</f>
        <v>0</v>
      </c>
      <c r="AH34" s="17">
        <f>D816</f>
        <v>0</v>
      </c>
      <c r="AI34" s="17">
        <f>D850</f>
        <v>0</v>
      </c>
      <c r="AJ34" s="17">
        <f>D884</f>
        <v>0</v>
      </c>
      <c r="AK34" s="17">
        <f>D918</f>
        <v>0</v>
      </c>
      <c r="AL34" s="17">
        <f>D952</f>
        <v>0</v>
      </c>
      <c r="AM34" s="17">
        <f>D986</f>
        <v>0</v>
      </c>
      <c r="AN34" s="17">
        <f>D1020</f>
        <v>0</v>
      </c>
      <c r="AO34" s="17">
        <f>D1054</f>
        <v>0</v>
      </c>
      <c r="AP34" s="17">
        <f>D1088</f>
        <v>0</v>
      </c>
      <c r="AQ34" s="17">
        <f>D1122</f>
        <v>0</v>
      </c>
      <c r="AR34" s="17">
        <f>D1156</f>
        <v>0</v>
      </c>
      <c r="AS34" s="17">
        <f>D1190</f>
        <v>0</v>
      </c>
      <c r="AT34" s="17">
        <f>D1224</f>
        <v>0</v>
      </c>
      <c r="AU34" s="17">
        <f>D1258</f>
        <v>0</v>
      </c>
      <c r="AV34" s="17">
        <f>D1292</f>
        <v>0</v>
      </c>
      <c r="AW34" s="17">
        <f>D1326</f>
        <v>0</v>
      </c>
      <c r="AX34" s="17">
        <f>D1360</f>
        <v>0</v>
      </c>
      <c r="AY34" s="17">
        <f>D1394</f>
        <v>0</v>
      </c>
      <c r="AZ34" s="17">
        <f>D1428</f>
        <v>0</v>
      </c>
      <c r="BA34" s="17">
        <f>D1462</f>
        <v>0</v>
      </c>
      <c r="BB34" s="17">
        <f>D1496</f>
        <v>0</v>
      </c>
      <c r="BC34" s="17">
        <f>D1530</f>
        <v>0</v>
      </c>
      <c r="BD34" s="17">
        <f>D1564</f>
        <v>0</v>
      </c>
      <c r="BE34" s="17">
        <f>D1598</f>
        <v>0</v>
      </c>
      <c r="BF34" s="17">
        <f>D1632</f>
        <v>0</v>
      </c>
      <c r="BG34" s="17">
        <f>D1666</f>
        <v>0</v>
      </c>
      <c r="BI34" s="81"/>
      <c r="BJ34" s="9"/>
      <c r="BK34" s="7" t="e">
        <f t="shared" si="74"/>
        <v>#DIV/0!</v>
      </c>
      <c r="BL34" s="7" t="e">
        <f t="shared" si="75"/>
        <v>#DIV/0!</v>
      </c>
      <c r="BM34" s="91" t="e">
        <f>ROUND($BJ$28,7)</f>
        <v>#DIV/0!</v>
      </c>
      <c r="BN34" s="7" t="e">
        <f t="shared" si="76"/>
        <v>#DIV/0!</v>
      </c>
      <c r="BO34" s="7" t="e">
        <f t="shared" si="77"/>
        <v>#DIV/0!</v>
      </c>
      <c r="BP34" s="91" t="e">
        <f>ROUND($BJ$29,7)</f>
        <v>#DIV/0!</v>
      </c>
      <c r="BQ34" s="7" t="e">
        <f t="shared" si="78"/>
        <v>#DIV/0!</v>
      </c>
    </row>
    <row r="35" spans="1:69" s="7" customFormat="1" hidden="1">
      <c r="A35" s="33">
        <f>IF(D35=0,0,A34+1)</f>
        <v>0</v>
      </c>
      <c r="B35" s="45" t="s">
        <v>119</v>
      </c>
      <c r="C35" s="33" t="s">
        <v>116</v>
      </c>
      <c r="D35" s="34">
        <f>SUMIF(L35:BG35,$L$16)</f>
        <v>0</v>
      </c>
      <c r="E35" s="8"/>
      <c r="F35" s="65">
        <f>IF('Анализ стоимости'!AJ29&gt;0,'Анализ стоимости'!A29,0)</f>
        <v>0</v>
      </c>
      <c r="G35" s="19"/>
      <c r="H35" s="41"/>
      <c r="I35" s="2"/>
      <c r="J35" s="362" t="str">
        <f t="shared" si="79"/>
        <v>Пустая строка (убрать галочку)</v>
      </c>
      <c r="L35" s="17">
        <f>D69</f>
        <v>0</v>
      </c>
      <c r="M35" s="17">
        <f>D103</f>
        <v>0</v>
      </c>
      <c r="N35" s="17">
        <f>D137</f>
        <v>0</v>
      </c>
      <c r="O35" s="17">
        <f>D171</f>
        <v>0</v>
      </c>
      <c r="P35" s="17">
        <f>D205</f>
        <v>0</v>
      </c>
      <c r="Q35" s="17">
        <f>D239</f>
        <v>0</v>
      </c>
      <c r="R35" s="17">
        <f>D273</f>
        <v>0</v>
      </c>
      <c r="S35" s="17">
        <f>D307</f>
        <v>0</v>
      </c>
      <c r="T35" s="17">
        <f>D341</f>
        <v>0</v>
      </c>
      <c r="U35" s="17">
        <f>D375</f>
        <v>0</v>
      </c>
      <c r="V35" s="17">
        <f>D409</f>
        <v>0</v>
      </c>
      <c r="W35" s="17">
        <f>D443</f>
        <v>0</v>
      </c>
      <c r="X35" s="17">
        <f>D477</f>
        <v>0</v>
      </c>
      <c r="Y35" s="17">
        <f>D511</f>
        <v>0</v>
      </c>
      <c r="Z35" s="17">
        <f>D545</f>
        <v>0</v>
      </c>
      <c r="AA35" s="17">
        <f>D579</f>
        <v>0</v>
      </c>
      <c r="AB35" s="17">
        <f>D613</f>
        <v>0</v>
      </c>
      <c r="AC35" s="17">
        <f>D647</f>
        <v>0</v>
      </c>
      <c r="AD35" s="17">
        <f>D681</f>
        <v>0</v>
      </c>
      <c r="AE35" s="17">
        <f>D715</f>
        <v>0</v>
      </c>
      <c r="AF35" s="17">
        <f>D749</f>
        <v>0</v>
      </c>
      <c r="AG35" s="17">
        <f>D783</f>
        <v>0</v>
      </c>
      <c r="AH35" s="17">
        <f>D817</f>
        <v>0</v>
      </c>
      <c r="AI35" s="17">
        <f>D851</f>
        <v>0</v>
      </c>
      <c r="AJ35" s="17">
        <f>D885</f>
        <v>0</v>
      </c>
      <c r="AK35" s="17">
        <f>D919</f>
        <v>0</v>
      </c>
      <c r="AL35" s="17">
        <f>D953</f>
        <v>0</v>
      </c>
      <c r="AM35" s="17">
        <f>D987</f>
        <v>0</v>
      </c>
      <c r="AN35" s="17">
        <f>D1021</f>
        <v>0</v>
      </c>
      <c r="AO35" s="17">
        <f>D1055</f>
        <v>0</v>
      </c>
      <c r="AP35" s="17">
        <f>D1089</f>
        <v>0</v>
      </c>
      <c r="AQ35" s="17">
        <f>D1123</f>
        <v>0</v>
      </c>
      <c r="AR35" s="17">
        <f>D1157</f>
        <v>0</v>
      </c>
      <c r="AS35" s="17">
        <f>D1191</f>
        <v>0</v>
      </c>
      <c r="AT35" s="17">
        <f>D1225</f>
        <v>0</v>
      </c>
      <c r="AU35" s="17">
        <f>D1259</f>
        <v>0</v>
      </c>
      <c r="AV35" s="17">
        <f>D1293</f>
        <v>0</v>
      </c>
      <c r="AW35" s="17">
        <f>D1327</f>
        <v>0</v>
      </c>
      <c r="AX35" s="17">
        <f>D1361</f>
        <v>0</v>
      </c>
      <c r="AY35" s="17">
        <f>D1395</f>
        <v>0</v>
      </c>
      <c r="AZ35" s="17">
        <f>D1429</f>
        <v>0</v>
      </c>
      <c r="BA35" s="17">
        <f>D1463</f>
        <v>0</v>
      </c>
      <c r="BB35" s="17">
        <f>D1497</f>
        <v>0</v>
      </c>
      <c r="BC35" s="17">
        <f>D1531</f>
        <v>0</v>
      </c>
      <c r="BD35" s="17">
        <f>D1565</f>
        <v>0</v>
      </c>
      <c r="BE35" s="17">
        <f>D1599</f>
        <v>0</v>
      </c>
      <c r="BF35" s="17">
        <f>D1633</f>
        <v>0</v>
      </c>
      <c r="BG35" s="17">
        <f>D1667</f>
        <v>0</v>
      </c>
      <c r="BI35" s="81"/>
      <c r="BJ35" s="52"/>
      <c r="BK35" s="7" t="e">
        <f t="shared" si="74"/>
        <v>#DIV/0!</v>
      </c>
      <c r="BL35" s="7" t="e">
        <f>CONCATENATE(BK35,BQ35)</f>
        <v>#DIV/0!</v>
      </c>
      <c r="BM35" s="92" t="e">
        <f>ROUND($BJ$28,8)</f>
        <v>#DIV/0!</v>
      </c>
      <c r="BN35" s="7" t="e">
        <f t="shared" si="76"/>
        <v>#DIV/0!</v>
      </c>
      <c r="BO35" s="7" t="e">
        <f t="shared" si="77"/>
        <v>#DIV/0!</v>
      </c>
      <c r="BP35" s="92" t="e">
        <f>ROUND($BJ$29,8)</f>
        <v>#DIV/0!</v>
      </c>
      <c r="BQ35" s="7" t="e">
        <f t="shared" si="78"/>
        <v>#DIV/0!</v>
      </c>
    </row>
    <row r="36" spans="1:69" s="7" customFormat="1" hidden="1">
      <c r="A36" s="33">
        <f>IF(D36=0,0,A35+1)</f>
        <v>0</v>
      </c>
      <c r="B36" s="45" t="str">
        <f>"Всего с НДС на "&amp;'Анализ стоимости'!$AX$1&amp;" г."</f>
        <v>Всего с НДС на 2019 г.</v>
      </c>
      <c r="C36" s="33" t="s">
        <v>116</v>
      </c>
      <c r="D36" s="46">
        <f>SUM(D34:D35)</f>
        <v>0</v>
      </c>
      <c r="E36" s="56">
        <f>'Анализ стоимости'!AZ103</f>
        <v>0</v>
      </c>
      <c r="F36" s="65">
        <f>IF('Анализ стоимости'!AJ30&gt;0,'Анализ стоимости'!A30,0)</f>
        <v>0</v>
      </c>
      <c r="G36" s="19"/>
      <c r="H36" s="41"/>
      <c r="I36" s="2"/>
      <c r="J36" s="362" t="str">
        <f t="shared" si="79"/>
        <v>Пустая строка (убрать галочку)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BI36" s="80">
        <f>IF(D36=0,0,VLOOKUP("ИСТИНАИСТИНА",BO28:BP39,2,0))</f>
        <v>0</v>
      </c>
      <c r="BJ36" s="3"/>
      <c r="BK36" s="7" t="e">
        <f t="shared" si="74"/>
        <v>#DIV/0!</v>
      </c>
      <c r="BL36" s="7" t="e">
        <f t="shared" ref="BL36:BL39" si="80">CONCATENATE(BK36,BQ36)</f>
        <v>#DIV/0!</v>
      </c>
      <c r="BM36" s="76" t="e">
        <f>ROUND($BJ$28,9)</f>
        <v>#DIV/0!</v>
      </c>
      <c r="BN36" s="7" t="e">
        <f t="shared" si="76"/>
        <v>#DIV/0!</v>
      </c>
      <c r="BO36" s="7" t="e">
        <f t="shared" ref="BO36:BO39" si="81">CONCATENATE(BN36,BQ35)</f>
        <v>#DIV/0!</v>
      </c>
      <c r="BP36" s="76" t="e">
        <f>ROUND($BJ$29,9)</f>
        <v>#DIV/0!</v>
      </c>
      <c r="BQ36" s="7" t="e">
        <f t="shared" si="78"/>
        <v>#DIV/0!</v>
      </c>
    </row>
    <row r="37" spans="1:69" s="3" customFormat="1" hidden="1">
      <c r="A37" s="33">
        <f>IF(D37=0,0,A36+1)</f>
        <v>0</v>
      </c>
      <c r="B37" s="45" t="s">
        <v>118</v>
      </c>
      <c r="C37" s="33" t="s">
        <v>116</v>
      </c>
      <c r="D37" s="46">
        <f>IF(OR(D33=0,D36=0),0,D36+D33)</f>
        <v>0</v>
      </c>
      <c r="E37" s="56">
        <f>'Анализ стоимости'!AP103</f>
        <v>1148973</v>
      </c>
      <c r="F37" s="65">
        <f>IF('Анализ стоимости'!AJ31&gt;0,'Анализ стоимости'!A31,0)</f>
        <v>0</v>
      </c>
      <c r="G37" s="19"/>
      <c r="H37" s="42"/>
      <c r="I37" s="1"/>
      <c r="J37" s="362" t="str">
        <f t="shared" si="79"/>
        <v>Пустая строка (убрать галочку)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BI37" s="82"/>
      <c r="BK37" s="7" t="e">
        <f t="shared" si="74"/>
        <v>#DIV/0!</v>
      </c>
      <c r="BL37" s="7" t="e">
        <f t="shared" si="80"/>
        <v>#DIV/0!</v>
      </c>
      <c r="BM37" s="72" t="e">
        <f>ROUND($BJ$28,10)</f>
        <v>#DIV/0!</v>
      </c>
      <c r="BN37" s="7" t="e">
        <f t="shared" si="76"/>
        <v>#DIV/0!</v>
      </c>
      <c r="BO37" s="7" t="e">
        <f t="shared" si="81"/>
        <v>#DIV/0!</v>
      </c>
      <c r="BP37" s="72" t="e">
        <f>ROUND($BJ$29,10)</f>
        <v>#DIV/0!</v>
      </c>
      <c r="BQ37" s="7" t="e">
        <f t="shared" si="78"/>
        <v>#DIV/0!</v>
      </c>
    </row>
    <row r="38" spans="1:69" s="3" customFormat="1">
      <c r="A38" s="13"/>
      <c r="B38" s="13"/>
      <c r="C38" s="13"/>
      <c r="D38" s="14"/>
      <c r="F38" s="65">
        <f>IF('Анализ стоимости'!AJ32&gt;0,'Анализ стоимости'!A32,0)</f>
        <v>0</v>
      </c>
      <c r="G38" s="19"/>
      <c r="H38" s="42"/>
      <c r="I38" s="1"/>
      <c r="J38" s="362">
        <v>1</v>
      </c>
      <c r="BK38" s="7" t="e">
        <f t="shared" si="74"/>
        <v>#DIV/0!</v>
      </c>
      <c r="BL38" s="7" t="e">
        <f t="shared" si="80"/>
        <v>#DIV/0!</v>
      </c>
      <c r="BM38" s="75" t="e">
        <f>ROUND($BJ$28,11)</f>
        <v>#DIV/0!</v>
      </c>
      <c r="BN38" s="7" t="e">
        <f t="shared" si="76"/>
        <v>#DIV/0!</v>
      </c>
      <c r="BO38" s="7" t="e">
        <f t="shared" si="81"/>
        <v>#DIV/0!</v>
      </c>
      <c r="BP38" s="75" t="e">
        <f>ROUND($BJ$29,11)</f>
        <v>#DIV/0!</v>
      </c>
      <c r="BQ38" s="7" t="e">
        <f t="shared" si="78"/>
        <v>#DIV/0!</v>
      </c>
    </row>
    <row r="39" spans="1:69" s="9" customFormat="1" ht="50.25" customHeight="1">
      <c r="A3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39" s="382"/>
      <c r="C39" s="61"/>
      <c r="D39" s="48" t="str">
        <f>'Анализ стоимости'!$I$101</f>
        <v>Шестопал О.Н.</v>
      </c>
      <c r="E39" s="15"/>
      <c r="F39" s="65">
        <f>IF('Анализ стоимости'!AJ33&gt;0,'Анализ стоимости'!A33,0)</f>
        <v>0</v>
      </c>
      <c r="G39" s="43" t="str">
        <f>A39</f>
        <v>Специалист администрации Старонижестеблиевского сельского поселения Красноармейского района</v>
      </c>
      <c r="H39" s="43"/>
      <c r="I39" s="1"/>
      <c r="J39" s="363">
        <v>1</v>
      </c>
      <c r="BK39" s="7" t="e">
        <f t="shared" si="74"/>
        <v>#DIV/0!</v>
      </c>
      <c r="BL39" s="7" t="e">
        <f t="shared" si="80"/>
        <v>#DIV/0!</v>
      </c>
      <c r="BM39" s="77" t="e">
        <f>ROUND($BJ$28,12)</f>
        <v>#DIV/0!</v>
      </c>
      <c r="BN39" s="7" t="e">
        <f t="shared" si="76"/>
        <v>#DIV/0!</v>
      </c>
      <c r="BO39" s="7" t="e">
        <f t="shared" si="81"/>
        <v>#DIV/0!</v>
      </c>
      <c r="BP39" s="77" t="e">
        <f>ROUND($BJ$29,12)</f>
        <v>#DIV/0!</v>
      </c>
      <c r="BQ39" s="7" t="e">
        <f t="shared" si="78"/>
        <v>#DIV/0!</v>
      </c>
    </row>
    <row r="40" spans="1:69" s="52" customFormat="1" ht="13.5" customHeight="1">
      <c r="A40" s="49"/>
      <c r="B40" s="49"/>
      <c r="C40" s="49"/>
      <c r="D40" s="50"/>
      <c r="E40" s="51"/>
      <c r="F40" s="65">
        <f>IF('Анализ стоимости'!AJ34&gt;0,'Анализ стоимости'!A34,0)</f>
        <v>0</v>
      </c>
      <c r="G40" s="53"/>
      <c r="H40" s="53"/>
      <c r="I40" s="54"/>
      <c r="J40" s="363">
        <v>1</v>
      </c>
      <c r="BO40" s="93"/>
    </row>
    <row r="41" spans="1:69" s="3" customFormat="1">
      <c r="A41" s="375"/>
      <c r="B41" s="375"/>
      <c r="E41" s="16"/>
      <c r="F41" s="65">
        <f>IF('Анализ стоимости'!AJ35&gt;0,'Анализ стоимости'!A35,0)</f>
        <v>0</v>
      </c>
      <c r="G41" s="37"/>
      <c r="H41" s="37"/>
      <c r="I41" s="1"/>
      <c r="J41" s="362">
        <v>1</v>
      </c>
    </row>
    <row r="42" spans="1:69" s="3" customFormat="1">
      <c r="A42" s="385" t="s">
        <v>128</v>
      </c>
      <c r="B42" s="385"/>
      <c r="C42" s="385"/>
      <c r="D42" s="385"/>
      <c r="E42" s="16"/>
      <c r="F42" s="65">
        <f>IF('Анализ стоимости'!AJ36&gt;0,'Анализ стоимости'!A36,0)</f>
        <v>0</v>
      </c>
      <c r="G42" s="37"/>
      <c r="H42" s="37"/>
      <c r="I42" s="1"/>
      <c r="J42" s="362">
        <f t="shared" ref="J42:J59" si="82">IF($F$10=0,"Пустая строка (убрать галочку)",1)</f>
        <v>1</v>
      </c>
    </row>
    <row r="43" spans="1:69" ht="47.25" customHeight="1">
      <c r="A43" s="376" t="str">
        <f>CONCATENATE("Наименование объекта: ",VLOOKUP($F$10,таблица,9,0))</f>
        <v>Наименование объекта: Ремонт ул.Стахановской от ПК 0+00 до ПК 5+70 (ул.Набережная) в ст-це Старонижестеблиевской.</v>
      </c>
      <c r="B43" s="376"/>
      <c r="C43" s="376"/>
      <c r="D43" s="376"/>
      <c r="F43" s="65">
        <f>IF('Анализ стоимости'!AJ37&gt;0,'Анализ стоимости'!A37,0)</f>
        <v>0</v>
      </c>
      <c r="I43" s="58" t="str">
        <f>A43</f>
        <v>Наименование объекта: Ремонт ул.Стахановской от ПК 0+00 до ПК 5+70 (ул.Набережная) в ст-це Старонижестеблиевской.</v>
      </c>
      <c r="J43" s="362">
        <f t="shared" si="82"/>
        <v>1</v>
      </c>
    </row>
    <row r="44" spans="1:69" ht="13.5" customHeight="1">
      <c r="A44" s="30"/>
      <c r="B44" s="25"/>
      <c r="C44" s="25"/>
      <c r="D44" s="25"/>
      <c r="F44" s="65">
        <f>IF('Анализ стоимости'!AJ38&gt;0,'Анализ стоимости'!A38,0)</f>
        <v>0</v>
      </c>
      <c r="J44" s="362">
        <f t="shared" si="82"/>
        <v>1</v>
      </c>
    </row>
    <row r="45" spans="1:69">
      <c r="A45" s="29" t="s">
        <v>111</v>
      </c>
      <c r="B45" s="22"/>
      <c r="C45" s="22"/>
      <c r="D45" s="22"/>
      <c r="F45" s="65">
        <f>IF('Анализ стоимости'!AJ39&gt;0,'Анализ стоимости'!A39,0)</f>
        <v>0</v>
      </c>
      <c r="J45" s="362">
        <f t="shared" si="82"/>
        <v>1</v>
      </c>
    </row>
    <row r="46" spans="1:69">
      <c r="A46" s="383" t="s">
        <v>112</v>
      </c>
      <c r="B46" s="383"/>
      <c r="C46" s="383"/>
      <c r="D46" s="383"/>
      <c r="F46" s="65">
        <f>IF('Анализ стоимости'!AJ40&gt;0,'Анализ стоимости'!A40,0)</f>
        <v>0</v>
      </c>
      <c r="J46" s="362">
        <f t="shared" si="82"/>
        <v>1</v>
      </c>
    </row>
    <row r="47" spans="1:69" ht="47.25">
      <c r="A47" s="63" t="s">
        <v>67</v>
      </c>
      <c r="B47" s="63" t="s">
        <v>98</v>
      </c>
      <c r="C47" s="377" t="str">
        <f>CONCATENATE("Стоимость  согласно сметной документации (руб.) в текущих ценах по состоянию на ",VLOOKUP($F$10,таблица,5,0)," г.")</f>
        <v>Стоимость  согласно сметной документации (руб.) в текущих ценах по состоянию на 01.06.2017 г.</v>
      </c>
      <c r="D47" s="378"/>
      <c r="F47" s="65">
        <f>IF('Анализ стоимости'!AJ41&gt;0,'Анализ стоимости'!A41,0)</f>
        <v>0</v>
      </c>
      <c r="H47" s="44" t="str">
        <f>C47</f>
        <v>Стоимость  согласно сметной документации (руб.) в текущих ценах по состоянию на 01.06.2017 г.</v>
      </c>
      <c r="J47" s="362">
        <f t="shared" si="82"/>
        <v>1</v>
      </c>
    </row>
    <row r="48" spans="1:69">
      <c r="A48" s="33">
        <v>1</v>
      </c>
      <c r="B48" s="32" t="s">
        <v>46</v>
      </c>
      <c r="C48" s="379">
        <f>VLOOKUP($F$10,таблица,10,0)</f>
        <v>59079</v>
      </c>
      <c r="D48" s="380"/>
      <c r="F48" s="65">
        <f>IF('Анализ стоимости'!AJ42&gt;0,'Анализ стоимости'!A42,0)</f>
        <v>0</v>
      </c>
      <c r="J48" s="362">
        <f t="shared" si="82"/>
        <v>1</v>
      </c>
    </row>
    <row r="49" spans="1:10">
      <c r="A49" s="33">
        <v>2</v>
      </c>
      <c r="B49" s="32" t="s">
        <v>41</v>
      </c>
      <c r="C49" s="379">
        <f>VLOOKUP($F$10,таблица,11,0)</f>
        <v>90140</v>
      </c>
      <c r="D49" s="380"/>
      <c r="F49" s="65">
        <f>IF('Анализ стоимости'!AJ43&gt;0,'Анализ стоимости'!A43,0)</f>
        <v>0</v>
      </c>
      <c r="J49" s="362">
        <f t="shared" si="82"/>
        <v>1</v>
      </c>
    </row>
    <row r="50" spans="1:10" ht="31.5">
      <c r="A50" s="33">
        <v>3</v>
      </c>
      <c r="B50" s="32" t="s">
        <v>3</v>
      </c>
      <c r="C50" s="379">
        <f>VLOOKUP($F$10,таблица,12,0)</f>
        <v>652382</v>
      </c>
      <c r="D50" s="380"/>
      <c r="F50" s="65">
        <f>IF('Анализ стоимости'!AJ44&gt;0,'Анализ стоимости'!A44,0)</f>
        <v>0</v>
      </c>
      <c r="J50" s="362">
        <f t="shared" si="82"/>
        <v>1</v>
      </c>
    </row>
    <row r="51" spans="1:10">
      <c r="A51" s="33">
        <v>4</v>
      </c>
      <c r="B51" s="32" t="s">
        <v>42</v>
      </c>
      <c r="C51" s="379">
        <f>VLOOKUP($F$10,таблица,13,0)</f>
        <v>71371</v>
      </c>
      <c r="D51" s="380"/>
      <c r="F51" s="65">
        <f>IF('Анализ стоимости'!AJ45&gt;0,'Анализ стоимости'!A45,0)</f>
        <v>0</v>
      </c>
      <c r="J51" s="362">
        <f t="shared" si="82"/>
        <v>1</v>
      </c>
    </row>
    <row r="52" spans="1:10">
      <c r="A52" s="33">
        <v>5</v>
      </c>
      <c r="B52" s="32" t="s">
        <v>5</v>
      </c>
      <c r="C52" s="379">
        <f>VLOOKUP($F$10,таблица,14,0)</f>
        <v>38328</v>
      </c>
      <c r="D52" s="380"/>
      <c r="F52" s="65">
        <f>IF('Анализ стоимости'!AJ46&gt;0,'Анализ стоимости'!A46,0)</f>
        <v>0</v>
      </c>
      <c r="J52" s="362">
        <f t="shared" si="82"/>
        <v>1</v>
      </c>
    </row>
    <row r="53" spans="1:10">
      <c r="A53" s="33">
        <v>6</v>
      </c>
      <c r="B53" s="32" t="s">
        <v>12</v>
      </c>
      <c r="C53" s="379">
        <f>VLOOKUP($F$10,таблица,18,0)</f>
        <v>0</v>
      </c>
      <c r="D53" s="380"/>
      <c r="F53" s="65">
        <f>IF('Анализ стоимости'!AJ47&gt;0,'Анализ стоимости'!A47,0)</f>
        <v>0</v>
      </c>
      <c r="J53" s="362">
        <f t="shared" si="82"/>
        <v>1</v>
      </c>
    </row>
    <row r="54" spans="1:10">
      <c r="A54" s="33">
        <v>7</v>
      </c>
      <c r="B54" s="32" t="s">
        <v>88</v>
      </c>
      <c r="C54" s="379">
        <f>VLOOKUP($F$10,таблица,19,0)+VLOOKUP($F$10,таблица,21,0)+VLOOKUP($F$10,таблица,22,0)+VLOOKUP($F$10,таблица,23,0)+VLOOKUP($F$10,таблица,24,0)+VLOOKUP($F$10,таблица,25,0)+VLOOKUP($F$10,таблица,26,0)</f>
        <v>6338</v>
      </c>
      <c r="D54" s="380"/>
      <c r="F54" s="65">
        <f>IF('Анализ стоимости'!AJ48&gt;0,'Анализ стоимости'!A48,0)</f>
        <v>0</v>
      </c>
      <c r="J54" s="362">
        <f t="shared" si="82"/>
        <v>1</v>
      </c>
    </row>
    <row r="55" spans="1:10">
      <c r="A55" s="33">
        <v>8</v>
      </c>
      <c r="B55" s="32" t="s">
        <v>62</v>
      </c>
      <c r="C55" s="379">
        <f>VLOOKUP($F$10,таблица,31,0)</f>
        <v>0</v>
      </c>
      <c r="D55" s="380"/>
      <c r="F55" s="65">
        <f>IF('Анализ стоимости'!AJ49&gt;0,'Анализ стоимости'!A49,0)</f>
        <v>0</v>
      </c>
      <c r="J55" s="362">
        <f t="shared" si="82"/>
        <v>1</v>
      </c>
    </row>
    <row r="56" spans="1:10">
      <c r="A56" s="33">
        <v>9</v>
      </c>
      <c r="B56" s="32" t="s">
        <v>127</v>
      </c>
      <c r="C56" s="379">
        <f>SUM(C48:D55)</f>
        <v>917638</v>
      </c>
      <c r="D56" s="380"/>
      <c r="F56" s="65">
        <f>IF('Анализ стоимости'!AJ50&gt;0,'Анализ стоимости'!A50,0)</f>
        <v>0</v>
      </c>
      <c r="J56" s="362">
        <f t="shared" si="82"/>
        <v>1</v>
      </c>
    </row>
    <row r="57" spans="1:10">
      <c r="A57" s="384" t="s">
        <v>122</v>
      </c>
      <c r="B57" s="384"/>
      <c r="C57" s="384"/>
      <c r="D57" s="384"/>
      <c r="F57" s="65">
        <f>IF('Анализ стоимости'!AJ93&gt;0,'Анализ стоимости'!A93,0)</f>
        <v>0</v>
      </c>
      <c r="J57" s="362">
        <f t="shared" si="82"/>
        <v>1</v>
      </c>
    </row>
    <row r="58" spans="1:10" ht="31.5">
      <c r="A58" s="35" t="s">
        <v>67</v>
      </c>
      <c r="B58" s="63" t="s">
        <v>21</v>
      </c>
      <c r="C58" s="63" t="s">
        <v>114</v>
      </c>
      <c r="D58" s="63" t="s">
        <v>99</v>
      </c>
      <c r="J58" s="362">
        <f t="shared" si="82"/>
        <v>1</v>
      </c>
    </row>
    <row r="59" spans="1:10" ht="31.5">
      <c r="A59" s="33">
        <v>10</v>
      </c>
      <c r="B59" s="33" t="str">
        <f>VLOOKUP((VLOOKUP($F$10,таблица,8,0)),рем_содер,2,0)</f>
        <v>Индексы-дефляторы Минэкономразвития РФ, применяемые к сметной стоимости</v>
      </c>
      <c r="C59" s="33"/>
      <c r="D59" s="32"/>
      <c r="J59" s="362">
        <f t="shared" si="82"/>
        <v>1</v>
      </c>
    </row>
    <row r="60" spans="1:10">
      <c r="A60" s="33">
        <f>IF(D60=0,0,A59+1)</f>
        <v>11</v>
      </c>
      <c r="B60" s="32" t="str">
        <f>CONCATENATE('Анализ стоимости'!$AW$1," г (",CHOOSE(VLOOKUP(F$10,таблица,43,0),"Январь","Февраль","Март","Апрель","Май","Июнь","Июль","Август","Сентябрь","Октябрь","Ноябрь","Декабрь")," - ",CHOOSE(VLOOKUP(F$10,таблица,44,0),"Январь","Февраль","Март","Апрель","Май","Июнь","Июль","Август","Сентябрь","Октябрь","Ноябрь","Декабрь"),")")</f>
        <v>2018 г (Сентябрь - Сентябрь)</v>
      </c>
      <c r="C60" s="33" t="s">
        <v>115</v>
      </c>
      <c r="D60" s="55">
        <f>IF(D62=0,0,VLOOKUP($F$10,таблица,49,0)*100+100)</f>
        <v>106.11</v>
      </c>
      <c r="J60" s="362">
        <f>IF(D60=0,"Пустая строка (убрать галочку)",1)</f>
        <v>1</v>
      </c>
    </row>
    <row r="61" spans="1:10" hidden="1">
      <c r="A61" s="33">
        <f>IF(D61=0,0,IF(D60=0,A59+1,A60+1))</f>
        <v>0</v>
      </c>
      <c r="B61" s="32" t="str">
        <f>CONCATENATE('Анализ стоимости'!$AX$1," г (",CHOOSE(VLOOKUP(F$10,таблица,45,0),"Январь","Февраль","Март","Апрель","Май","Июнь","Июль","Август","Сентябрь","Октябрь","Ноябрь","Декабрь")," - ",CHOOSE(VLOOKUP(F$10,таблица,46,0),"Январь","Февраль","Март","Апрель","Май","Июнь","Июль","Август","Сентябрь","Октябрь","Ноябрь","Декабрь"),")")</f>
        <v>2019 г (Январь - Декабрь)</v>
      </c>
      <c r="C61" s="33" t="s">
        <v>115</v>
      </c>
      <c r="D61" s="55">
        <f>IF(D63=0,0,VLOOKUP($F$10,таблица,50,0)*100+100)</f>
        <v>0</v>
      </c>
      <c r="J61" s="362" t="str">
        <f>IF(D61=0,"Пустая строка (убрать галочку)",1)</f>
        <v>Пустая строка (убрать галочку)</v>
      </c>
    </row>
    <row r="62" spans="1:10">
      <c r="A62" s="33">
        <f>IF(D62=0,0,IF(D61=0,A60+1,A61+1))</f>
        <v>12</v>
      </c>
      <c r="B62" s="32" t="str">
        <f>"Рост стоимости "&amp;'Анализ стоимости'!$AW$1&amp;" г."</f>
        <v>Рост стоимости 2018 г.</v>
      </c>
      <c r="C62" s="33" t="s">
        <v>116</v>
      </c>
      <c r="D62" s="34">
        <f>VLOOKUP($F$10,таблица,38,0)</f>
        <v>56068</v>
      </c>
      <c r="J62" s="362">
        <f>IF(D62=0,"Пустая строка (убрать галочку)",1)</f>
        <v>1</v>
      </c>
    </row>
    <row r="63" spans="1:10" hidden="1">
      <c r="A63" s="33">
        <f>IF(D63=0,0,IF(D62=0,A61+1,A62+1))</f>
        <v>0</v>
      </c>
      <c r="B63" s="32" t="str">
        <f>"Рост стоимости "&amp;'Анализ стоимости'!$AX$1&amp;" г."</f>
        <v>Рост стоимости 2019 г.</v>
      </c>
      <c r="C63" s="33" t="s">
        <v>116</v>
      </c>
      <c r="D63" s="34">
        <f>VLOOKUP($F$10,таблица,40,0)</f>
        <v>0</v>
      </c>
      <c r="J63" s="362" t="str">
        <f>IF(D63=0,"Пустая строка (убрать галочку)",1)</f>
        <v>Пустая строка (убрать галочку)</v>
      </c>
    </row>
    <row r="64" spans="1:10">
      <c r="A64" s="384" t="s">
        <v>117</v>
      </c>
      <c r="B64" s="384"/>
      <c r="C64" s="384"/>
      <c r="D64" s="384"/>
      <c r="J64" s="362">
        <f>IF($F$10=0,"Пустая строка (убрать галочку)",1)</f>
        <v>1</v>
      </c>
    </row>
    <row r="65" spans="1:10" ht="31.5">
      <c r="A65" s="33">
        <f>IF(D65=0,0,IF(D63=0,IF(D62=0,A59+1,A62+1),A63+1))</f>
        <v>13</v>
      </c>
      <c r="B6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65" s="33" t="s">
        <v>116</v>
      </c>
      <c r="D65" s="34">
        <f>SUM(VLOOKUP($F$10,таблица,37,0),D62)</f>
        <v>973706</v>
      </c>
      <c r="E65" s="7"/>
      <c r="J65" s="362">
        <f t="shared" ref="J65:J71" si="83">IF(D65=0,"Пустая строка (убрать галочку)",1)</f>
        <v>1</v>
      </c>
    </row>
    <row r="66" spans="1:10">
      <c r="A66" s="33">
        <f>IF(D66=0,0,A65+1)</f>
        <v>14</v>
      </c>
      <c r="B66" s="45" t="s">
        <v>119</v>
      </c>
      <c r="C66" s="33" t="s">
        <v>116</v>
      </c>
      <c r="D66" s="34">
        <f>VLOOKUP($F$10,таблица,39,0)</f>
        <v>175267</v>
      </c>
      <c r="E66" s="7"/>
      <c r="J66" s="362">
        <f t="shared" si="83"/>
        <v>1</v>
      </c>
    </row>
    <row r="67" spans="1:10">
      <c r="A67" s="33">
        <f>IF(D67=0,0,A66+1)</f>
        <v>15</v>
      </c>
      <c r="B67" s="45" t="str">
        <f>"Всего с НДС на "&amp;'Анализ стоимости'!$AW$1&amp;" г."</f>
        <v>Всего с НДС на 2018 г.</v>
      </c>
      <c r="C67" s="33" t="s">
        <v>116</v>
      </c>
      <c r="D67" s="46">
        <f>SUM(D65:D66)</f>
        <v>1148973</v>
      </c>
      <c r="E67" s="56">
        <f>VLOOKUP($F$10,таблица,51,0)</f>
        <v>1148973</v>
      </c>
      <c r="J67" s="362">
        <f t="shared" si="83"/>
        <v>1</v>
      </c>
    </row>
    <row r="68" spans="1:10" ht="31.5" hidden="1">
      <c r="A68" s="33">
        <f>IF(D68=0,0,IF(D67=0,IF(D63=0,A59+1,A63+1),A67+1))</f>
        <v>0</v>
      </c>
      <c r="B6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68" s="33" t="s">
        <v>116</v>
      </c>
      <c r="D68" s="34">
        <f>VLOOKUP($F$10,таблица,36,0)-VLOOKUP($F$10,таблица,37,0)+D63</f>
        <v>0</v>
      </c>
      <c r="J68" s="362" t="str">
        <f t="shared" si="83"/>
        <v>Пустая строка (убрать галочку)</v>
      </c>
    </row>
    <row r="69" spans="1:10" hidden="1">
      <c r="A69" s="33">
        <f>IF(D69=0,0,A68+1)</f>
        <v>0</v>
      </c>
      <c r="B69" s="45" t="s">
        <v>119</v>
      </c>
      <c r="C69" s="33" t="s">
        <v>116</v>
      </c>
      <c r="D69" s="34">
        <f>VLOOKUP($F$10,таблица,41,0)</f>
        <v>0</v>
      </c>
      <c r="J69" s="362" t="str">
        <f t="shared" si="83"/>
        <v>Пустая строка (убрать галочку)</v>
      </c>
    </row>
    <row r="70" spans="1:10" hidden="1">
      <c r="A70" s="33">
        <f>IF(D70=0,0,A69+1)</f>
        <v>0</v>
      </c>
      <c r="B70" s="45" t="str">
        <f>"Всего с НДС на "&amp;'Анализ стоимости'!$AX$1&amp;" г."</f>
        <v>Всего с НДС на 2019 г.</v>
      </c>
      <c r="C70" s="33" t="s">
        <v>116</v>
      </c>
      <c r="D70" s="46">
        <f>SUM(D68:D69)</f>
        <v>0</v>
      </c>
      <c r="E70" s="56">
        <f>VLOOKUP($F$10,таблица,52,0)</f>
        <v>0</v>
      </c>
      <c r="J70" s="362" t="str">
        <f t="shared" si="83"/>
        <v>Пустая строка (убрать галочку)</v>
      </c>
    </row>
    <row r="71" spans="1:10" hidden="1">
      <c r="A71" s="33">
        <f>IF(D71=0,0,A70+1)</f>
        <v>0</v>
      </c>
      <c r="B71" s="45" t="s">
        <v>118</v>
      </c>
      <c r="C71" s="33" t="s">
        <v>116</v>
      </c>
      <c r="D71" s="46">
        <f>IF(OR(D67=0,D70=0),0,D70+D67)</f>
        <v>0</v>
      </c>
      <c r="E71" s="56">
        <f>VLOOKUP($F$10,таблица,42,0)</f>
        <v>1148973</v>
      </c>
      <c r="J71" s="362" t="str">
        <f t="shared" si="83"/>
        <v>Пустая строка (убрать галочку)</v>
      </c>
    </row>
    <row r="72" spans="1:10">
      <c r="A72" s="13"/>
      <c r="B72" s="13"/>
      <c r="C72" s="13"/>
      <c r="D72" s="14"/>
      <c r="J72" s="362">
        <f>IF($F$10=0,"Пустая строка (убрать галочку)",1)</f>
        <v>1</v>
      </c>
    </row>
    <row r="73" spans="1:10" ht="47.25">
      <c r="A7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73" s="382"/>
      <c r="C73" s="61"/>
      <c r="D73" s="48" t="str">
        <f>'Анализ стоимости'!$I$101</f>
        <v>Шестопал О.Н.</v>
      </c>
      <c r="G73" s="43" t="str">
        <f>A73</f>
        <v>Специалист администрации Старонижестеблиевского сельского поселения Красноармейского района</v>
      </c>
      <c r="J73" s="362">
        <f>IF($F$10=0,"Пустая строка (убрать галочку)",1)</f>
        <v>1</v>
      </c>
    </row>
    <row r="74" spans="1:10">
      <c r="A74" s="49"/>
      <c r="B74" s="49"/>
      <c r="C74" s="49"/>
      <c r="D74" s="50"/>
      <c r="J74" s="362">
        <f>IF($F$10=0,"Пустая строка (убрать галочку)",1)</f>
        <v>1</v>
      </c>
    </row>
    <row r="75" spans="1:10">
      <c r="A75" s="375"/>
      <c r="B75" s="375"/>
      <c r="C75" s="3"/>
      <c r="D75" s="3"/>
      <c r="J75" s="362">
        <f>IF($F$10=0,"Пустая строка (убрать галочку)",1)</f>
        <v>1</v>
      </c>
    </row>
    <row r="76" spans="1:10" hidden="1">
      <c r="A76" s="385" t="s">
        <v>129</v>
      </c>
      <c r="B76" s="385"/>
      <c r="C76" s="385"/>
      <c r="D76" s="385"/>
      <c r="G76" s="37"/>
      <c r="H76" s="37"/>
      <c r="J76" s="362" t="str">
        <f t="shared" ref="J76:J93" si="84">IF($F$11=0,"Пустая строка (убрать галочку)",1)</f>
        <v>Пустая строка (убрать галочку)</v>
      </c>
    </row>
    <row r="77" spans="1:10" ht="47.25" hidden="1" customHeight="1">
      <c r="A77" s="376" t="str">
        <f>CONCATENATE("Наименование объекта: ",VLOOKUP($F$11,таблица,9,0))</f>
        <v xml:space="preserve">Наименование объекта: </v>
      </c>
      <c r="B77" s="376"/>
      <c r="C77" s="376"/>
      <c r="D77" s="376"/>
      <c r="I77" s="58" t="str">
        <f>A77</f>
        <v xml:space="preserve">Наименование объекта: </v>
      </c>
      <c r="J77" s="362" t="str">
        <f t="shared" si="84"/>
        <v>Пустая строка (убрать галочку)</v>
      </c>
    </row>
    <row r="78" spans="1:10" hidden="1">
      <c r="A78" s="30"/>
      <c r="B78" s="25"/>
      <c r="C78" s="25"/>
      <c r="D78" s="25"/>
      <c r="J78" s="362" t="str">
        <f t="shared" si="84"/>
        <v>Пустая строка (убрать галочку)</v>
      </c>
    </row>
    <row r="79" spans="1:10" hidden="1">
      <c r="A79" s="29" t="s">
        <v>111</v>
      </c>
      <c r="B79" s="22"/>
      <c r="C79" s="22"/>
      <c r="D79" s="22"/>
      <c r="J79" s="362" t="str">
        <f t="shared" si="84"/>
        <v>Пустая строка (убрать галочку)</v>
      </c>
    </row>
    <row r="80" spans="1:10" hidden="1">
      <c r="A80" s="383" t="s">
        <v>112</v>
      </c>
      <c r="B80" s="383"/>
      <c r="C80" s="383"/>
      <c r="D80" s="383"/>
      <c r="J80" s="362" t="str">
        <f t="shared" si="84"/>
        <v>Пустая строка (убрать галочку)</v>
      </c>
    </row>
    <row r="81" spans="1:10" ht="47.25" hidden="1">
      <c r="A81" s="63" t="s">
        <v>67</v>
      </c>
      <c r="B81" s="63" t="s">
        <v>98</v>
      </c>
      <c r="C81" s="377" t="str">
        <f>CONCATENATE("Стоимость  согласно сметной документации (руб.) в текущих ценах по состоянию на ",VLOOKUP($F$11,таблица,5,0)," г.")</f>
        <v>Стоимость  согласно сметной документации (руб.) в текущих ценах по состоянию на  г.</v>
      </c>
      <c r="D81" s="378"/>
      <c r="H81" s="44" t="str">
        <f>C81</f>
        <v>Стоимость  согласно сметной документации (руб.) в текущих ценах по состоянию на  г.</v>
      </c>
      <c r="J81" s="362" t="str">
        <f t="shared" si="84"/>
        <v>Пустая строка (убрать галочку)</v>
      </c>
    </row>
    <row r="82" spans="1:10" hidden="1">
      <c r="A82" s="33">
        <v>1</v>
      </c>
      <c r="B82" s="32" t="s">
        <v>46</v>
      </c>
      <c r="C82" s="379">
        <f>VLOOKUP($F$11,таблица,10,0)</f>
        <v>0</v>
      </c>
      <c r="D82" s="380"/>
      <c r="J82" s="362" t="str">
        <f t="shared" si="84"/>
        <v>Пустая строка (убрать галочку)</v>
      </c>
    </row>
    <row r="83" spans="1:10" hidden="1">
      <c r="A83" s="33">
        <v>2</v>
      </c>
      <c r="B83" s="32" t="s">
        <v>41</v>
      </c>
      <c r="C83" s="379">
        <f>VLOOKUP($F$11,таблица,11,0)</f>
        <v>0</v>
      </c>
      <c r="D83" s="380"/>
      <c r="J83" s="362" t="str">
        <f t="shared" si="84"/>
        <v>Пустая строка (убрать галочку)</v>
      </c>
    </row>
    <row r="84" spans="1:10" ht="31.5" hidden="1">
      <c r="A84" s="33">
        <v>3</v>
      </c>
      <c r="B84" s="32" t="s">
        <v>3</v>
      </c>
      <c r="C84" s="379">
        <f>VLOOKUP($F$11,таблица,12,0)</f>
        <v>0</v>
      </c>
      <c r="D84" s="380"/>
      <c r="J84" s="362" t="str">
        <f t="shared" si="84"/>
        <v>Пустая строка (убрать галочку)</v>
      </c>
    </row>
    <row r="85" spans="1:10" hidden="1">
      <c r="A85" s="33">
        <v>4</v>
      </c>
      <c r="B85" s="32" t="s">
        <v>42</v>
      </c>
      <c r="C85" s="379">
        <f>VLOOKUP($F$11,таблица,13,0)</f>
        <v>0</v>
      </c>
      <c r="D85" s="380"/>
      <c r="J85" s="362" t="str">
        <f t="shared" si="84"/>
        <v>Пустая строка (убрать галочку)</v>
      </c>
    </row>
    <row r="86" spans="1:10" hidden="1">
      <c r="A86" s="33">
        <v>5</v>
      </c>
      <c r="B86" s="32" t="s">
        <v>5</v>
      </c>
      <c r="C86" s="379">
        <f>VLOOKUP($F$11,таблица,14,0)</f>
        <v>0</v>
      </c>
      <c r="D86" s="380"/>
      <c r="J86" s="362" t="str">
        <f t="shared" si="84"/>
        <v>Пустая строка (убрать галочку)</v>
      </c>
    </row>
    <row r="87" spans="1:10" hidden="1">
      <c r="A87" s="33">
        <v>6</v>
      </c>
      <c r="B87" s="32" t="s">
        <v>12</v>
      </c>
      <c r="C87" s="379">
        <f>VLOOKUP($F$11,таблица,18,0)</f>
        <v>0</v>
      </c>
      <c r="D87" s="380"/>
      <c r="J87" s="362" t="str">
        <f t="shared" si="84"/>
        <v>Пустая строка (убрать галочку)</v>
      </c>
    </row>
    <row r="88" spans="1:10" hidden="1">
      <c r="A88" s="33">
        <v>7</v>
      </c>
      <c r="B88" s="32" t="s">
        <v>88</v>
      </c>
      <c r="C88" s="379">
        <f>VLOOKUP($F$11,таблица,19,0)+VLOOKUP($F$11,таблица,21,0)+VLOOKUP($F$11,таблица,22,0)+VLOOKUP($F$11,таблица,23,0)+VLOOKUP($F$11,таблица,24,0)+VLOOKUP($F$11,таблица,25,0)+VLOOKUP($F$11,таблица,26,0)</f>
        <v>0</v>
      </c>
      <c r="D88" s="380"/>
      <c r="J88" s="362" t="str">
        <f t="shared" si="84"/>
        <v>Пустая строка (убрать галочку)</v>
      </c>
    </row>
    <row r="89" spans="1:10" hidden="1">
      <c r="A89" s="33">
        <v>8</v>
      </c>
      <c r="B89" s="32" t="s">
        <v>62</v>
      </c>
      <c r="C89" s="379">
        <f>VLOOKUP($F$11,таблица,31,0)</f>
        <v>0</v>
      </c>
      <c r="D89" s="380"/>
      <c r="J89" s="362" t="str">
        <f t="shared" si="84"/>
        <v>Пустая строка (убрать галочку)</v>
      </c>
    </row>
    <row r="90" spans="1:10" hidden="1">
      <c r="A90" s="33">
        <v>9</v>
      </c>
      <c r="B90" s="32" t="s">
        <v>127</v>
      </c>
      <c r="C90" s="379">
        <f>SUM(C82:D89)</f>
        <v>0</v>
      </c>
      <c r="D90" s="380"/>
      <c r="J90" s="362" t="str">
        <f t="shared" si="84"/>
        <v>Пустая строка (убрать галочку)</v>
      </c>
    </row>
    <row r="91" spans="1:10" hidden="1">
      <c r="A91" s="384" t="s">
        <v>122</v>
      </c>
      <c r="B91" s="384"/>
      <c r="C91" s="384"/>
      <c r="D91" s="384"/>
      <c r="J91" s="362" t="str">
        <f t="shared" si="84"/>
        <v>Пустая строка (убрать галочку)</v>
      </c>
    </row>
    <row r="92" spans="1:10" ht="31.5" hidden="1">
      <c r="A92" s="35" t="s">
        <v>67</v>
      </c>
      <c r="B92" s="63" t="s">
        <v>21</v>
      </c>
      <c r="C92" s="63" t="s">
        <v>114</v>
      </c>
      <c r="D92" s="63" t="s">
        <v>99</v>
      </c>
      <c r="J92" s="362" t="str">
        <f t="shared" si="84"/>
        <v>Пустая строка (убрать галочку)</v>
      </c>
    </row>
    <row r="93" spans="1:10" hidden="1">
      <c r="A93" s="33">
        <v>10</v>
      </c>
      <c r="B93" s="33" t="e">
        <f>VLOOKUP((VLOOKUP($F$11,таблица,8,0)),рем_содер,2,0)</f>
        <v>#N/A</v>
      </c>
      <c r="C93" s="33"/>
      <c r="D93" s="32"/>
      <c r="J93" s="362" t="str">
        <f t="shared" si="84"/>
        <v>Пустая строка (убрать галочку)</v>
      </c>
    </row>
    <row r="94" spans="1:10" hidden="1">
      <c r="A94" s="33">
        <f>IF(D94=0,0,A93+1)</f>
        <v>0</v>
      </c>
      <c r="B94" s="32" t="e">
        <f>CONCATENATE('Анализ стоимости'!$AW$1," г (",CHOOSE(VLOOKUP(F$11,таблица,43,0),"Январь","Февраль","Март","Апрель","Май","Июнь","Июль","Август","Сентябрь","Октябрь","Ноябрь","Декабрь")," - ",CHOOSE(VLOOKUP(F$11,таблица,44,0),"Январь","Февраль","Март","Апрель","Май","Июнь","Июль","Август","Сентябрь","Октябрь","Ноябрь","Декабрь"),")")</f>
        <v>#VALUE!</v>
      </c>
      <c r="C94" s="33" t="s">
        <v>115</v>
      </c>
      <c r="D94" s="55">
        <f>IF(D96=0,0,VLOOKUP($F$11,таблица,49,0)*100+100)</f>
        <v>0</v>
      </c>
      <c r="J94" s="362" t="str">
        <f>IF(D94=0,"Пустая строка (убрать галочку)",1)</f>
        <v>Пустая строка (убрать галочку)</v>
      </c>
    </row>
    <row r="95" spans="1:10" hidden="1">
      <c r="A95" s="33">
        <f>IF(D95=0,0,IF(D94=0,A93+1,A94+1))</f>
        <v>0</v>
      </c>
      <c r="B95" s="32" t="e">
        <f>CONCATENATE('Анализ стоимости'!$AX$1," г (",CHOOSE(VLOOKUP(F$11,таблица,45,0),"Январь","Февраль","Март","Апрель","Май","Июнь","Июль","Август","Сентябрь","Октябрь","Ноябрь","Декабрь")," - ",CHOOSE(VLOOKUP(F$11,таблица,46,0),"Январь","Февраль","Март","Апрель","Май","Июнь","Июль","Август","Сентябрь","Октябрь","Ноябрь","Декабрь"),")")</f>
        <v>#VALUE!</v>
      </c>
      <c r="C95" s="33" t="s">
        <v>115</v>
      </c>
      <c r="D95" s="55">
        <f>IF(D97=0,0,VLOOKUP($F$11,таблица,50,0)*100+100)</f>
        <v>0</v>
      </c>
      <c r="J95" s="362" t="str">
        <f>IF(D95=0,"Пустая строка (убрать галочку)",1)</f>
        <v>Пустая строка (убрать галочку)</v>
      </c>
    </row>
    <row r="96" spans="1:10" hidden="1">
      <c r="A96" s="33">
        <f>IF(D96=0,0,IF(D95=0,A94+1,A95+1))</f>
        <v>0</v>
      </c>
      <c r="B96" s="32" t="str">
        <f>"Рост стоимости "&amp;'Анализ стоимости'!$AW$1&amp;" г."</f>
        <v>Рост стоимости 2018 г.</v>
      </c>
      <c r="C96" s="33" t="s">
        <v>116</v>
      </c>
      <c r="D96" s="34">
        <f>VLOOKUP($F$11,таблица,38,0)</f>
        <v>0</v>
      </c>
      <c r="J96" s="362" t="str">
        <f>IF(D96=0,"Пустая строка (убрать галочку)",1)</f>
        <v>Пустая строка (убрать галочку)</v>
      </c>
    </row>
    <row r="97" spans="1:10" hidden="1">
      <c r="A97" s="33">
        <f>IF(D97=0,0,IF(D96=0,A95+1,A96+1))</f>
        <v>0</v>
      </c>
      <c r="B97" s="32" t="str">
        <f>"Рост стоимости "&amp;'Анализ стоимости'!$AX$1&amp;" г."</f>
        <v>Рост стоимости 2019 г.</v>
      </c>
      <c r="C97" s="33" t="s">
        <v>116</v>
      </c>
      <c r="D97" s="34">
        <f>VLOOKUP($F$11,таблица,40,0)</f>
        <v>0</v>
      </c>
      <c r="J97" s="362" t="str">
        <f>IF(D97=0,"Пустая строка (убрать галочку)",1)</f>
        <v>Пустая строка (убрать галочку)</v>
      </c>
    </row>
    <row r="98" spans="1:10" hidden="1">
      <c r="A98" s="384" t="s">
        <v>117</v>
      </c>
      <c r="B98" s="384"/>
      <c r="C98" s="384"/>
      <c r="D98" s="384"/>
      <c r="J98" s="362" t="str">
        <f>IF($F$11=0,"Пустая строка (убрать галочку)",1)</f>
        <v>Пустая строка (убрать галочку)</v>
      </c>
    </row>
    <row r="99" spans="1:10" ht="31.5" hidden="1">
      <c r="A99" s="33">
        <f>IF(D99=0,0,IF(D97=0,IF(D96=0,A93+1,A96+1),A97+1))</f>
        <v>0</v>
      </c>
      <c r="B9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99" s="33" t="s">
        <v>116</v>
      </c>
      <c r="D99" s="34">
        <f>SUM(VLOOKUP($F$11,таблица,37,0),D96)</f>
        <v>0</v>
      </c>
      <c r="E99" s="7"/>
      <c r="J99" s="362" t="str">
        <f t="shared" ref="J99:J105" si="85">IF(D99=0,"Пустая строка (убрать галочку)",1)</f>
        <v>Пустая строка (убрать галочку)</v>
      </c>
    </row>
    <row r="100" spans="1:10" hidden="1">
      <c r="A100" s="33">
        <f>IF(D100=0,0,A99+1)</f>
        <v>0</v>
      </c>
      <c r="B100" s="45" t="s">
        <v>119</v>
      </c>
      <c r="C100" s="33" t="s">
        <v>116</v>
      </c>
      <c r="D100" s="34">
        <f>VLOOKUP($F$11,таблица,39,0)</f>
        <v>0</v>
      </c>
      <c r="E100" s="7"/>
      <c r="J100" s="362" t="str">
        <f t="shared" si="85"/>
        <v>Пустая строка (убрать галочку)</v>
      </c>
    </row>
    <row r="101" spans="1:10" hidden="1">
      <c r="A101" s="33">
        <f>IF(D101=0,0,A100+1)</f>
        <v>0</v>
      </c>
      <c r="B101" s="45" t="str">
        <f>"Всего с НДС на "&amp;'Анализ стоимости'!$AW$1&amp;" г."</f>
        <v>Всего с НДС на 2018 г.</v>
      </c>
      <c r="C101" s="33" t="s">
        <v>116</v>
      </c>
      <c r="D101" s="46">
        <f>SUM(D99:D100)</f>
        <v>0</v>
      </c>
      <c r="E101" s="56">
        <f>VLOOKUP($F$11,таблица,51,0)</f>
        <v>0</v>
      </c>
      <c r="J101" s="362" t="str">
        <f t="shared" si="85"/>
        <v>Пустая строка (убрать галочку)</v>
      </c>
    </row>
    <row r="102" spans="1:10" ht="31.5" hidden="1">
      <c r="A102" s="33">
        <f>IF(D102=0,0,IF(D101=0,IF(D97=0,A93+1,A97+1),A101+1))</f>
        <v>0</v>
      </c>
      <c r="B10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02" s="33" t="s">
        <v>116</v>
      </c>
      <c r="D102" s="34">
        <f>VLOOKUP($F$11,таблица,36,0)-VLOOKUP($F$11,таблица,37,0)+D97</f>
        <v>0</v>
      </c>
      <c r="J102" s="362" t="str">
        <f t="shared" si="85"/>
        <v>Пустая строка (убрать галочку)</v>
      </c>
    </row>
    <row r="103" spans="1:10" hidden="1">
      <c r="A103" s="33">
        <f>IF(D103=0,0,A102+1)</f>
        <v>0</v>
      </c>
      <c r="B103" s="45" t="s">
        <v>119</v>
      </c>
      <c r="C103" s="33" t="s">
        <v>116</v>
      </c>
      <c r="D103" s="34">
        <f>VLOOKUP($F$11,таблица,41,0)</f>
        <v>0</v>
      </c>
      <c r="J103" s="362" t="str">
        <f t="shared" si="85"/>
        <v>Пустая строка (убрать галочку)</v>
      </c>
    </row>
    <row r="104" spans="1:10" hidden="1">
      <c r="A104" s="33">
        <f>IF(D104=0,0,A103+1)</f>
        <v>0</v>
      </c>
      <c r="B104" s="45" t="str">
        <f>"Всего с НДС на "&amp;'Анализ стоимости'!$AX$1&amp;" г."</f>
        <v>Всего с НДС на 2019 г.</v>
      </c>
      <c r="C104" s="33" t="s">
        <v>116</v>
      </c>
      <c r="D104" s="46">
        <f>SUM(D102:D103)</f>
        <v>0</v>
      </c>
      <c r="E104" s="56">
        <f>VLOOKUP($F$11,таблица,52,0)</f>
        <v>0</v>
      </c>
      <c r="J104" s="362" t="str">
        <f t="shared" si="85"/>
        <v>Пустая строка (убрать галочку)</v>
      </c>
    </row>
    <row r="105" spans="1:10" hidden="1">
      <c r="A105" s="33">
        <f>IF(D105=0,0,A104+1)</f>
        <v>0</v>
      </c>
      <c r="B105" s="45" t="s">
        <v>118</v>
      </c>
      <c r="C105" s="33" t="s">
        <v>116</v>
      </c>
      <c r="D105" s="46">
        <f>IF(OR(D101=0,D104=0),0,D104+D101)</f>
        <v>0</v>
      </c>
      <c r="E105" s="56">
        <f>VLOOKUP($F$11,таблица,42,0)</f>
        <v>0</v>
      </c>
      <c r="J105" s="362" t="str">
        <f t="shared" si="85"/>
        <v>Пустая строка (убрать галочку)</v>
      </c>
    </row>
    <row r="106" spans="1:10" hidden="1">
      <c r="A106" s="13"/>
      <c r="B106" s="13"/>
      <c r="C106" s="13"/>
      <c r="D106" s="14"/>
      <c r="J106" s="362" t="str">
        <f>IF($F$11=0,"Пустая строка (убрать галочку)",1)</f>
        <v>Пустая строка (убрать галочку)</v>
      </c>
    </row>
    <row r="107" spans="1:10" ht="47.25" hidden="1" customHeight="1">
      <c r="A10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07" s="382"/>
      <c r="C107" s="61"/>
      <c r="D107" s="48" t="str">
        <f>'Анализ стоимости'!$I$101</f>
        <v>Шестопал О.Н.</v>
      </c>
      <c r="G107" s="43" t="str">
        <f>A107</f>
        <v>Специалист администрации Старонижестеблиевского сельского поселения Красноармейского района</v>
      </c>
      <c r="J107" s="362" t="str">
        <f>IF($F$11=0,"Пустая строка (убрать галочку)",1)</f>
        <v>Пустая строка (убрать галочку)</v>
      </c>
    </row>
    <row r="108" spans="1:10" hidden="1">
      <c r="A108" s="49"/>
      <c r="B108" s="49"/>
      <c r="C108" s="49"/>
      <c r="D108" s="50"/>
      <c r="J108" s="362" t="str">
        <f>IF($F$11=0,"Пустая строка (убрать галочку)",1)</f>
        <v>Пустая строка (убрать галочку)</v>
      </c>
    </row>
    <row r="109" spans="1:10" hidden="1">
      <c r="A109" s="375"/>
      <c r="B109" s="375"/>
      <c r="C109" s="3"/>
      <c r="D109" s="3"/>
      <c r="J109" s="362" t="str">
        <f>IF($F$11=0,"Пустая строка (убрать галочку)",1)</f>
        <v>Пустая строка (убрать галочку)</v>
      </c>
    </row>
    <row r="110" spans="1:10" hidden="1">
      <c r="A110" s="385" t="s">
        <v>130</v>
      </c>
      <c r="B110" s="385"/>
      <c r="C110" s="385"/>
      <c r="D110" s="385"/>
      <c r="G110" s="37"/>
      <c r="H110" s="37"/>
      <c r="J110" s="362" t="str">
        <f t="shared" ref="J110:J127" si="86">IF($F$12=0,"Пустая строка (убрать галочку)",1)</f>
        <v>Пустая строка (убрать галочку)</v>
      </c>
    </row>
    <row r="111" spans="1:10" ht="47.25" hidden="1" customHeight="1">
      <c r="A111" s="376" t="str">
        <f>CONCATENATE("Наименование объекта: ",VLOOKUP($F$12,таблица,9,0))</f>
        <v xml:space="preserve">Наименование объекта: </v>
      </c>
      <c r="B111" s="376"/>
      <c r="C111" s="376"/>
      <c r="D111" s="376"/>
      <c r="I111" s="58" t="str">
        <f>A111</f>
        <v xml:space="preserve">Наименование объекта: </v>
      </c>
      <c r="J111" s="362" t="str">
        <f t="shared" si="86"/>
        <v>Пустая строка (убрать галочку)</v>
      </c>
    </row>
    <row r="112" spans="1:10" hidden="1">
      <c r="A112" s="30"/>
      <c r="B112" s="25"/>
      <c r="C112" s="25"/>
      <c r="D112" s="25"/>
      <c r="J112" s="362" t="str">
        <f t="shared" si="86"/>
        <v>Пустая строка (убрать галочку)</v>
      </c>
    </row>
    <row r="113" spans="1:10" hidden="1">
      <c r="A113" s="29" t="s">
        <v>111</v>
      </c>
      <c r="B113" s="22"/>
      <c r="C113" s="22"/>
      <c r="D113" s="22"/>
      <c r="J113" s="362" t="str">
        <f t="shared" si="86"/>
        <v>Пустая строка (убрать галочку)</v>
      </c>
    </row>
    <row r="114" spans="1:10" hidden="1">
      <c r="A114" s="383" t="s">
        <v>112</v>
      </c>
      <c r="B114" s="383"/>
      <c r="C114" s="383"/>
      <c r="D114" s="383"/>
      <c r="J114" s="362" t="str">
        <f t="shared" si="86"/>
        <v>Пустая строка (убрать галочку)</v>
      </c>
    </row>
    <row r="115" spans="1:10" ht="47.25" hidden="1">
      <c r="A115" s="63" t="s">
        <v>67</v>
      </c>
      <c r="B115" s="63" t="s">
        <v>98</v>
      </c>
      <c r="C115" s="377" t="str">
        <f>CONCATENATE("Стоимость  согласно сметной документации (руб.) в текущих ценах по состоянию на ",VLOOKUP($F$12,таблица,5,0)," г.")</f>
        <v>Стоимость  согласно сметной документации (руб.) в текущих ценах по состоянию на  г.</v>
      </c>
      <c r="D115" s="378"/>
      <c r="H115" s="44" t="str">
        <f>C115</f>
        <v>Стоимость  согласно сметной документации (руб.) в текущих ценах по состоянию на  г.</v>
      </c>
      <c r="J115" s="362" t="str">
        <f t="shared" si="86"/>
        <v>Пустая строка (убрать галочку)</v>
      </c>
    </row>
    <row r="116" spans="1:10" hidden="1">
      <c r="A116" s="33">
        <v>1</v>
      </c>
      <c r="B116" s="32" t="s">
        <v>46</v>
      </c>
      <c r="C116" s="379">
        <f>VLOOKUP($F$12,таблица,10,0)</f>
        <v>0</v>
      </c>
      <c r="D116" s="380"/>
      <c r="J116" s="362" t="str">
        <f t="shared" si="86"/>
        <v>Пустая строка (убрать галочку)</v>
      </c>
    </row>
    <row r="117" spans="1:10" hidden="1">
      <c r="A117" s="33">
        <v>2</v>
      </c>
      <c r="B117" s="32" t="s">
        <v>41</v>
      </c>
      <c r="C117" s="379">
        <f>VLOOKUP($F$12,таблица,11,0)</f>
        <v>0</v>
      </c>
      <c r="D117" s="380"/>
      <c r="J117" s="362" t="str">
        <f t="shared" si="86"/>
        <v>Пустая строка (убрать галочку)</v>
      </c>
    </row>
    <row r="118" spans="1:10" ht="31.5" hidden="1">
      <c r="A118" s="33">
        <v>3</v>
      </c>
      <c r="B118" s="32" t="s">
        <v>3</v>
      </c>
      <c r="C118" s="379">
        <f>VLOOKUP($F$12,таблица,12,0)</f>
        <v>0</v>
      </c>
      <c r="D118" s="380"/>
      <c r="J118" s="362" t="str">
        <f t="shared" si="86"/>
        <v>Пустая строка (убрать галочку)</v>
      </c>
    </row>
    <row r="119" spans="1:10" hidden="1">
      <c r="A119" s="33">
        <v>4</v>
      </c>
      <c r="B119" s="32" t="s">
        <v>42</v>
      </c>
      <c r="C119" s="379">
        <f>VLOOKUP($F$12,таблица,13,0)</f>
        <v>0</v>
      </c>
      <c r="D119" s="380"/>
      <c r="J119" s="362" t="str">
        <f t="shared" si="86"/>
        <v>Пустая строка (убрать галочку)</v>
      </c>
    </row>
    <row r="120" spans="1:10" hidden="1">
      <c r="A120" s="33">
        <v>5</v>
      </c>
      <c r="B120" s="32" t="s">
        <v>5</v>
      </c>
      <c r="C120" s="379">
        <f>VLOOKUP($F$12,таблица,14,0)</f>
        <v>0</v>
      </c>
      <c r="D120" s="380"/>
      <c r="J120" s="362" t="str">
        <f t="shared" si="86"/>
        <v>Пустая строка (убрать галочку)</v>
      </c>
    </row>
    <row r="121" spans="1:10" hidden="1">
      <c r="A121" s="33">
        <v>6</v>
      </c>
      <c r="B121" s="32" t="s">
        <v>12</v>
      </c>
      <c r="C121" s="379">
        <f>VLOOKUP($F$12,таблица,18,0)</f>
        <v>0</v>
      </c>
      <c r="D121" s="380"/>
      <c r="J121" s="362" t="str">
        <f t="shared" si="86"/>
        <v>Пустая строка (убрать галочку)</v>
      </c>
    </row>
    <row r="122" spans="1:10" hidden="1">
      <c r="A122" s="33">
        <v>7</v>
      </c>
      <c r="B122" s="32" t="s">
        <v>88</v>
      </c>
      <c r="C122" s="379">
        <f>VLOOKUP($F$12,таблица,19,0)+VLOOKUP($F$12,таблица,21,0)+VLOOKUP($F$12,таблица,22,0)+VLOOKUP($F$12,таблица,23,0)+VLOOKUP($F$12,таблица,24,0)+VLOOKUP($F$12,таблица,25,0)+VLOOKUP($F$12,таблица,26,0)</f>
        <v>0</v>
      </c>
      <c r="D122" s="380"/>
      <c r="J122" s="362" t="str">
        <f t="shared" si="86"/>
        <v>Пустая строка (убрать галочку)</v>
      </c>
    </row>
    <row r="123" spans="1:10" hidden="1">
      <c r="A123" s="33">
        <v>8</v>
      </c>
      <c r="B123" s="32" t="s">
        <v>62</v>
      </c>
      <c r="C123" s="379">
        <f>VLOOKUP($F$12,таблица,31,0)</f>
        <v>0</v>
      </c>
      <c r="D123" s="380"/>
      <c r="J123" s="362" t="str">
        <f t="shared" si="86"/>
        <v>Пустая строка (убрать галочку)</v>
      </c>
    </row>
    <row r="124" spans="1:10" hidden="1">
      <c r="A124" s="33">
        <v>9</v>
      </c>
      <c r="B124" s="32" t="s">
        <v>127</v>
      </c>
      <c r="C124" s="379">
        <f>SUM(C116:D123)</f>
        <v>0</v>
      </c>
      <c r="D124" s="380"/>
      <c r="J124" s="362" t="str">
        <f t="shared" si="86"/>
        <v>Пустая строка (убрать галочку)</v>
      </c>
    </row>
    <row r="125" spans="1:10" hidden="1">
      <c r="A125" s="384" t="s">
        <v>122</v>
      </c>
      <c r="B125" s="384"/>
      <c r="C125" s="384"/>
      <c r="D125" s="384"/>
      <c r="J125" s="362" t="str">
        <f t="shared" si="86"/>
        <v>Пустая строка (убрать галочку)</v>
      </c>
    </row>
    <row r="126" spans="1:10" ht="31.5" hidden="1">
      <c r="A126" s="35" t="s">
        <v>67</v>
      </c>
      <c r="B126" s="63" t="s">
        <v>21</v>
      </c>
      <c r="C126" s="63" t="s">
        <v>114</v>
      </c>
      <c r="D126" s="63" t="s">
        <v>99</v>
      </c>
      <c r="J126" s="362" t="str">
        <f t="shared" si="86"/>
        <v>Пустая строка (убрать галочку)</v>
      </c>
    </row>
    <row r="127" spans="1:10" hidden="1">
      <c r="A127" s="33">
        <v>10</v>
      </c>
      <c r="B127" s="33" t="e">
        <f>VLOOKUP((VLOOKUP($F$12,таблица,8,0)),рем_содер,2,0)</f>
        <v>#N/A</v>
      </c>
      <c r="C127" s="33"/>
      <c r="D127" s="32"/>
      <c r="J127" s="362" t="str">
        <f t="shared" si="86"/>
        <v>Пустая строка (убрать галочку)</v>
      </c>
    </row>
    <row r="128" spans="1:10" hidden="1">
      <c r="A128" s="33">
        <f>IF(D128=0,0,A127+1)</f>
        <v>0</v>
      </c>
      <c r="B128" s="32" t="e">
        <f>CONCATENATE('Анализ стоимости'!$AW$1," г (",CHOOSE(VLOOKUP(F$12,таблица,43,0),"Январь","Февраль","Март","Апрель","Май","Июнь","Июль","Август","Сентябрь","Октябрь","Ноябрь","Декабрь")," - ",CHOOSE(VLOOKUP(F$12,таблица,44,0),"Январь","Февраль","Март","Апрель","Май","Июнь","Июль","Август","Сентябрь","Октябрь","Ноябрь","Декабрь"),")")</f>
        <v>#VALUE!</v>
      </c>
      <c r="C128" s="33" t="s">
        <v>115</v>
      </c>
      <c r="D128" s="55">
        <f>IF(D130=0,0,VLOOKUP($F$12,таблица,49,0)*100+100)</f>
        <v>0</v>
      </c>
      <c r="J128" s="362" t="str">
        <f>IF(D128=0,"Пустая строка (убрать галочку)",1)</f>
        <v>Пустая строка (убрать галочку)</v>
      </c>
    </row>
    <row r="129" spans="1:10" hidden="1">
      <c r="A129" s="33">
        <f>IF(D129=0,0,IF(D128=0,A127+1,A128+1))</f>
        <v>0</v>
      </c>
      <c r="B129" s="32" t="e">
        <f>CONCATENATE('Анализ стоимости'!$AX$1," г (",CHOOSE(VLOOKUP(F$12,таблица,45,0),"Январь","Февраль","Март","Апрель","Май","Июнь","Июль","Август","Сентябрь","Октябрь","Ноябрь","Декабрь")," - ",CHOOSE(VLOOKUP(F$12,таблица,46,0),"Январь","Февраль","Март","Апрель","Май","Июнь","Июль","Август","Сентябрь","Октябрь","Ноябрь","Декабрь"),")")</f>
        <v>#VALUE!</v>
      </c>
      <c r="C129" s="33" t="s">
        <v>115</v>
      </c>
      <c r="D129" s="55">
        <f>IF(D131=0,0,VLOOKUP($F$12,таблица,50,0)*100+100)</f>
        <v>0</v>
      </c>
      <c r="J129" s="362" t="str">
        <f>IF(D129=0,"Пустая строка (убрать галочку)",1)</f>
        <v>Пустая строка (убрать галочку)</v>
      </c>
    </row>
    <row r="130" spans="1:10" hidden="1">
      <c r="A130" s="33">
        <f>IF(D130=0,0,IF(D129=0,A128+1,A129+1))</f>
        <v>0</v>
      </c>
      <c r="B130" s="32" t="str">
        <f>"Рост стоимости "&amp;'Анализ стоимости'!$AW$1&amp;" г."</f>
        <v>Рост стоимости 2018 г.</v>
      </c>
      <c r="C130" s="33" t="s">
        <v>116</v>
      </c>
      <c r="D130" s="34">
        <f>VLOOKUP($F$12,таблица,38,0)</f>
        <v>0</v>
      </c>
      <c r="J130" s="362" t="str">
        <f>IF(D130=0,"Пустая строка (убрать галочку)",1)</f>
        <v>Пустая строка (убрать галочку)</v>
      </c>
    </row>
    <row r="131" spans="1:10" hidden="1">
      <c r="A131" s="33">
        <f>IF(D131=0,0,IF(D130=0,A129+1,A130+1))</f>
        <v>0</v>
      </c>
      <c r="B131" s="32" t="str">
        <f>"Рост стоимости "&amp;'Анализ стоимости'!$AX$1&amp;" г."</f>
        <v>Рост стоимости 2019 г.</v>
      </c>
      <c r="C131" s="33" t="s">
        <v>116</v>
      </c>
      <c r="D131" s="34">
        <f>VLOOKUP($F$12,таблица,40,0)</f>
        <v>0</v>
      </c>
      <c r="J131" s="362" t="str">
        <f>IF(D131=0,"Пустая строка (убрать галочку)",1)</f>
        <v>Пустая строка (убрать галочку)</v>
      </c>
    </row>
    <row r="132" spans="1:10" hidden="1">
      <c r="A132" s="384" t="s">
        <v>117</v>
      </c>
      <c r="B132" s="384"/>
      <c r="C132" s="384"/>
      <c r="D132" s="384"/>
      <c r="J132" s="362" t="str">
        <f>IF($F$12=0,"Пустая строка (убрать галочку)",1)</f>
        <v>Пустая строка (убрать галочку)</v>
      </c>
    </row>
    <row r="133" spans="1:10" ht="31.5" hidden="1">
      <c r="A133" s="33">
        <f>IF(D133=0,0,IF(D131=0,IF(D130=0,A127+1,A130+1),A131+1))</f>
        <v>0</v>
      </c>
      <c r="B13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33" s="33" t="s">
        <v>116</v>
      </c>
      <c r="D133" s="34">
        <f>SUM(VLOOKUP($F$12,таблица,37,0),D130)</f>
        <v>0</v>
      </c>
      <c r="E133" s="7"/>
      <c r="J133" s="362" t="str">
        <f t="shared" ref="J133:J139" si="87">IF(D133=0,"Пустая строка (убрать галочку)",1)</f>
        <v>Пустая строка (убрать галочку)</v>
      </c>
    </row>
    <row r="134" spans="1:10" hidden="1">
      <c r="A134" s="33">
        <f>IF(D134=0,0,A133+1)</f>
        <v>0</v>
      </c>
      <c r="B134" s="45" t="s">
        <v>119</v>
      </c>
      <c r="C134" s="33" t="s">
        <v>116</v>
      </c>
      <c r="D134" s="34">
        <f>VLOOKUP($F$12,таблица,39,0)</f>
        <v>0</v>
      </c>
      <c r="E134" s="7"/>
      <c r="J134" s="362" t="str">
        <f t="shared" si="87"/>
        <v>Пустая строка (убрать галочку)</v>
      </c>
    </row>
    <row r="135" spans="1:10" hidden="1">
      <c r="A135" s="33">
        <f>IF(D135=0,0,A134+1)</f>
        <v>0</v>
      </c>
      <c r="B135" s="45" t="str">
        <f>"Всего с НДС на "&amp;'Анализ стоимости'!$AW$1&amp;" г."</f>
        <v>Всего с НДС на 2018 г.</v>
      </c>
      <c r="C135" s="33" t="s">
        <v>116</v>
      </c>
      <c r="D135" s="46">
        <f>SUM(D133:D134)</f>
        <v>0</v>
      </c>
      <c r="E135" s="56">
        <f>VLOOKUP($F$12,таблица,51,0)</f>
        <v>0</v>
      </c>
      <c r="J135" s="362" t="str">
        <f t="shared" si="87"/>
        <v>Пустая строка (убрать галочку)</v>
      </c>
    </row>
    <row r="136" spans="1:10" ht="31.5" hidden="1">
      <c r="A136" s="33">
        <f>IF(D136=0,0,IF(D135=0,IF(D131=0,A127+1,A131+1),A135+1))</f>
        <v>0</v>
      </c>
      <c r="B13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36" s="33" t="s">
        <v>116</v>
      </c>
      <c r="D136" s="34">
        <f>VLOOKUP($F$12,таблица,36,0)-VLOOKUP($F$12,таблица,37,0)+D131</f>
        <v>0</v>
      </c>
      <c r="J136" s="362" t="str">
        <f t="shared" si="87"/>
        <v>Пустая строка (убрать галочку)</v>
      </c>
    </row>
    <row r="137" spans="1:10" hidden="1">
      <c r="A137" s="33">
        <f>IF(D137=0,0,A136+1)</f>
        <v>0</v>
      </c>
      <c r="B137" s="45" t="s">
        <v>119</v>
      </c>
      <c r="C137" s="33" t="s">
        <v>116</v>
      </c>
      <c r="D137" s="34">
        <f>VLOOKUP($F$12,таблица,41,0)</f>
        <v>0</v>
      </c>
      <c r="J137" s="362" t="str">
        <f t="shared" si="87"/>
        <v>Пустая строка (убрать галочку)</v>
      </c>
    </row>
    <row r="138" spans="1:10" hidden="1">
      <c r="A138" s="33">
        <f>IF(D138=0,0,A137+1)</f>
        <v>0</v>
      </c>
      <c r="B138" s="45" t="str">
        <f>"Всего с НДС на "&amp;'Анализ стоимости'!$AX$1&amp;" г."</f>
        <v>Всего с НДС на 2019 г.</v>
      </c>
      <c r="C138" s="33" t="s">
        <v>116</v>
      </c>
      <c r="D138" s="46">
        <f>SUM(D136:D137)</f>
        <v>0</v>
      </c>
      <c r="E138" s="56">
        <f>VLOOKUP($F$12,таблица,52,0)</f>
        <v>0</v>
      </c>
      <c r="J138" s="362" t="str">
        <f t="shared" si="87"/>
        <v>Пустая строка (убрать галочку)</v>
      </c>
    </row>
    <row r="139" spans="1:10" hidden="1">
      <c r="A139" s="33">
        <f>IF(D139=0,0,A138+1)</f>
        <v>0</v>
      </c>
      <c r="B139" s="45" t="s">
        <v>118</v>
      </c>
      <c r="C139" s="33" t="s">
        <v>116</v>
      </c>
      <c r="D139" s="46">
        <f>IF(OR(D135=0,D138=0),0,D138+D135)</f>
        <v>0</v>
      </c>
      <c r="E139" s="56">
        <f>VLOOKUP($F$12,таблица,42,0)</f>
        <v>0</v>
      </c>
      <c r="J139" s="362" t="str">
        <f t="shared" si="87"/>
        <v>Пустая строка (убрать галочку)</v>
      </c>
    </row>
    <row r="140" spans="1:10" hidden="1">
      <c r="A140" s="13"/>
      <c r="B140" s="13"/>
      <c r="C140" s="13"/>
      <c r="D140" s="14"/>
      <c r="J140" s="362" t="str">
        <f>IF($F$12=0,"Пустая строка (убрать галочку)",1)</f>
        <v>Пустая строка (убрать галочку)</v>
      </c>
    </row>
    <row r="141" spans="1:10" ht="47.25" hidden="1" customHeight="1">
      <c r="A14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41" s="382"/>
      <c r="C141" s="61"/>
      <c r="D141" s="48" t="str">
        <f>'Анализ стоимости'!$I$101</f>
        <v>Шестопал О.Н.</v>
      </c>
      <c r="G141" s="43" t="str">
        <f>A141</f>
        <v>Специалист администрации Старонижестеблиевского сельского поселения Красноармейского района</v>
      </c>
      <c r="J141" s="362" t="str">
        <f>IF($F$12=0,"Пустая строка (убрать галочку)",1)</f>
        <v>Пустая строка (убрать галочку)</v>
      </c>
    </row>
    <row r="142" spans="1:10" hidden="1">
      <c r="A142" s="49"/>
      <c r="B142" s="49"/>
      <c r="C142" s="49"/>
      <c r="D142" s="50"/>
      <c r="J142" s="362" t="str">
        <f>IF($F$12=0,"Пустая строка (убрать галочку)",1)</f>
        <v>Пустая строка (убрать галочку)</v>
      </c>
    </row>
    <row r="143" spans="1:10" hidden="1">
      <c r="A143" s="375"/>
      <c r="B143" s="375"/>
      <c r="C143" s="3"/>
      <c r="D143" s="3"/>
      <c r="J143" s="362" t="str">
        <f>IF($F$12=0,"Пустая строка (убрать галочку)",1)</f>
        <v>Пустая строка (убрать галочку)</v>
      </c>
    </row>
    <row r="144" spans="1:10" hidden="1">
      <c r="A144" s="385" t="s">
        <v>131</v>
      </c>
      <c r="B144" s="385"/>
      <c r="C144" s="385"/>
      <c r="D144" s="385"/>
      <c r="G144" s="37"/>
      <c r="H144" s="37"/>
      <c r="J144" s="362" t="str">
        <f t="shared" ref="J144:J161" si="88">IF($F$13=0,"Пустая строка (убрать галочку)",1)</f>
        <v>Пустая строка (убрать галочку)</v>
      </c>
    </row>
    <row r="145" spans="1:10" ht="47.25" hidden="1" customHeight="1">
      <c r="A145" s="376" t="str">
        <f>CONCATENATE("Наименование объекта: ",VLOOKUP($F$13,таблица,9,0))</f>
        <v xml:space="preserve">Наименование объекта: </v>
      </c>
      <c r="B145" s="376"/>
      <c r="C145" s="376"/>
      <c r="D145" s="376"/>
      <c r="I145" s="58" t="str">
        <f>A145</f>
        <v xml:space="preserve">Наименование объекта: </v>
      </c>
      <c r="J145" s="362" t="str">
        <f t="shared" si="88"/>
        <v>Пустая строка (убрать галочку)</v>
      </c>
    </row>
    <row r="146" spans="1:10" hidden="1">
      <c r="A146" s="30"/>
      <c r="B146" s="25"/>
      <c r="C146" s="25"/>
      <c r="D146" s="25"/>
      <c r="J146" s="362" t="str">
        <f t="shared" si="88"/>
        <v>Пустая строка (убрать галочку)</v>
      </c>
    </row>
    <row r="147" spans="1:10" hidden="1">
      <c r="A147" s="29" t="s">
        <v>111</v>
      </c>
      <c r="B147" s="22"/>
      <c r="C147" s="22"/>
      <c r="D147" s="22"/>
      <c r="J147" s="362" t="str">
        <f t="shared" si="88"/>
        <v>Пустая строка (убрать галочку)</v>
      </c>
    </row>
    <row r="148" spans="1:10" hidden="1">
      <c r="A148" s="383" t="s">
        <v>112</v>
      </c>
      <c r="B148" s="383"/>
      <c r="C148" s="383"/>
      <c r="D148" s="383"/>
      <c r="J148" s="362" t="str">
        <f t="shared" si="88"/>
        <v>Пустая строка (убрать галочку)</v>
      </c>
    </row>
    <row r="149" spans="1:10" ht="47.25" hidden="1">
      <c r="A149" s="63" t="s">
        <v>67</v>
      </c>
      <c r="B149" s="63" t="s">
        <v>98</v>
      </c>
      <c r="C149" s="377" t="str">
        <f>CONCATENATE("Стоимость  согласно сметной документации (руб.) в текущих ценах по состоянию на ",VLOOKUP($F$13,таблица,5,0)," г.")</f>
        <v>Стоимость  согласно сметной документации (руб.) в текущих ценах по состоянию на  г.</v>
      </c>
      <c r="D149" s="378"/>
      <c r="H149" s="44" t="str">
        <f>C149</f>
        <v>Стоимость  согласно сметной документации (руб.) в текущих ценах по состоянию на  г.</v>
      </c>
      <c r="J149" s="362" t="str">
        <f t="shared" si="88"/>
        <v>Пустая строка (убрать галочку)</v>
      </c>
    </row>
    <row r="150" spans="1:10" hidden="1">
      <c r="A150" s="33">
        <v>1</v>
      </c>
      <c r="B150" s="32" t="s">
        <v>46</v>
      </c>
      <c r="C150" s="379">
        <f>VLOOKUP($F$13,таблица,10,0)</f>
        <v>0</v>
      </c>
      <c r="D150" s="380"/>
      <c r="J150" s="362" t="str">
        <f t="shared" si="88"/>
        <v>Пустая строка (убрать галочку)</v>
      </c>
    </row>
    <row r="151" spans="1:10" hidden="1">
      <c r="A151" s="33">
        <v>2</v>
      </c>
      <c r="B151" s="32" t="s">
        <v>41</v>
      </c>
      <c r="C151" s="379">
        <f>VLOOKUP($F$13,таблица,11,0)</f>
        <v>0</v>
      </c>
      <c r="D151" s="380"/>
      <c r="J151" s="362" t="str">
        <f t="shared" si="88"/>
        <v>Пустая строка (убрать галочку)</v>
      </c>
    </row>
    <row r="152" spans="1:10" ht="31.5" hidden="1">
      <c r="A152" s="33">
        <v>3</v>
      </c>
      <c r="B152" s="32" t="s">
        <v>3</v>
      </c>
      <c r="C152" s="379">
        <f>VLOOKUP($F$13,таблица,12,0)</f>
        <v>0</v>
      </c>
      <c r="D152" s="380"/>
      <c r="J152" s="362" t="str">
        <f t="shared" si="88"/>
        <v>Пустая строка (убрать галочку)</v>
      </c>
    </row>
    <row r="153" spans="1:10" hidden="1">
      <c r="A153" s="33">
        <v>4</v>
      </c>
      <c r="B153" s="32" t="s">
        <v>42</v>
      </c>
      <c r="C153" s="379">
        <f>VLOOKUP($F$13,таблица,13,0)</f>
        <v>0</v>
      </c>
      <c r="D153" s="380"/>
      <c r="J153" s="362" t="str">
        <f t="shared" si="88"/>
        <v>Пустая строка (убрать галочку)</v>
      </c>
    </row>
    <row r="154" spans="1:10" hidden="1">
      <c r="A154" s="33">
        <v>5</v>
      </c>
      <c r="B154" s="32" t="s">
        <v>5</v>
      </c>
      <c r="C154" s="379">
        <f>VLOOKUP($F$13,таблица,14,0)</f>
        <v>0</v>
      </c>
      <c r="D154" s="380"/>
      <c r="J154" s="362" t="str">
        <f t="shared" si="88"/>
        <v>Пустая строка (убрать галочку)</v>
      </c>
    </row>
    <row r="155" spans="1:10" hidden="1">
      <c r="A155" s="33">
        <v>6</v>
      </c>
      <c r="B155" s="32" t="s">
        <v>12</v>
      </c>
      <c r="C155" s="379">
        <f>VLOOKUP($F$13,таблица,18,0)</f>
        <v>0</v>
      </c>
      <c r="D155" s="380"/>
      <c r="J155" s="362" t="str">
        <f t="shared" si="88"/>
        <v>Пустая строка (убрать галочку)</v>
      </c>
    </row>
    <row r="156" spans="1:10" hidden="1">
      <c r="A156" s="33">
        <v>7</v>
      </c>
      <c r="B156" s="32" t="s">
        <v>88</v>
      </c>
      <c r="C156" s="379">
        <f>VLOOKUP($F$13,таблица,19,0)+VLOOKUP($F$13,таблица,21,0)+VLOOKUP($F$13,таблица,22,0)+VLOOKUP($F$13,таблица,23,0)+VLOOKUP($F$13,таблица,24,0)+VLOOKUP($F$13,таблица,25,0)+VLOOKUP($F$13,таблица,26,0)</f>
        <v>0</v>
      </c>
      <c r="D156" s="380"/>
      <c r="J156" s="362" t="str">
        <f t="shared" si="88"/>
        <v>Пустая строка (убрать галочку)</v>
      </c>
    </row>
    <row r="157" spans="1:10" hidden="1">
      <c r="A157" s="33">
        <v>8</v>
      </c>
      <c r="B157" s="32" t="s">
        <v>62</v>
      </c>
      <c r="C157" s="379">
        <f>VLOOKUP($F$13,таблица,31,0)</f>
        <v>0</v>
      </c>
      <c r="D157" s="380"/>
      <c r="J157" s="362" t="str">
        <f t="shared" si="88"/>
        <v>Пустая строка (убрать галочку)</v>
      </c>
    </row>
    <row r="158" spans="1:10" hidden="1">
      <c r="A158" s="33">
        <v>9</v>
      </c>
      <c r="B158" s="32" t="s">
        <v>127</v>
      </c>
      <c r="C158" s="379">
        <f>SUM(C150:D157)</f>
        <v>0</v>
      </c>
      <c r="D158" s="380"/>
      <c r="J158" s="362" t="str">
        <f t="shared" si="88"/>
        <v>Пустая строка (убрать галочку)</v>
      </c>
    </row>
    <row r="159" spans="1:10" hidden="1">
      <c r="A159" s="384" t="s">
        <v>122</v>
      </c>
      <c r="B159" s="384"/>
      <c r="C159" s="384"/>
      <c r="D159" s="384"/>
      <c r="J159" s="362" t="str">
        <f t="shared" si="88"/>
        <v>Пустая строка (убрать галочку)</v>
      </c>
    </row>
    <row r="160" spans="1:10" ht="31.5" hidden="1">
      <c r="A160" s="35" t="s">
        <v>67</v>
      </c>
      <c r="B160" s="63" t="s">
        <v>21</v>
      </c>
      <c r="C160" s="63" t="s">
        <v>114</v>
      </c>
      <c r="D160" s="63" t="s">
        <v>99</v>
      </c>
      <c r="J160" s="362" t="str">
        <f t="shared" si="88"/>
        <v>Пустая строка (убрать галочку)</v>
      </c>
    </row>
    <row r="161" spans="1:10" hidden="1">
      <c r="A161" s="33">
        <v>10</v>
      </c>
      <c r="B161" s="33" t="e">
        <f>VLOOKUP((VLOOKUP($F$13,таблица,8,0)),рем_содер,2,0)</f>
        <v>#N/A</v>
      </c>
      <c r="C161" s="33"/>
      <c r="D161" s="32"/>
      <c r="J161" s="362" t="str">
        <f t="shared" si="88"/>
        <v>Пустая строка (убрать галочку)</v>
      </c>
    </row>
    <row r="162" spans="1:10" hidden="1">
      <c r="A162" s="33">
        <f>IF(D162=0,0,A161+1)</f>
        <v>0</v>
      </c>
      <c r="B162" s="32" t="e">
        <f>CONCATENATE('Анализ стоимости'!$AW$1," г (",CHOOSE(VLOOKUP(F$13,таблица,43,0),"Январь","Февраль","Март","Апрель","Май","Июнь","Июль","Август","Сентябрь","Октябрь","Ноябрь","Декабрь")," - ",CHOOSE(VLOOKUP(F$13,таблица,44,0),"Январь","Февраль","Март","Апрель","Май","Июнь","Июль","Август","Сентябрь","Октябрь","Ноябрь","Декабрь"),")")</f>
        <v>#VALUE!</v>
      </c>
      <c r="C162" s="33" t="s">
        <v>115</v>
      </c>
      <c r="D162" s="55">
        <f>IF(D164=0,0,VLOOKUP($F$13,таблица,49,0)*100+100)</f>
        <v>0</v>
      </c>
      <c r="J162" s="362" t="str">
        <f>IF(D162=0,"Пустая строка (убрать галочку)",1)</f>
        <v>Пустая строка (убрать галочку)</v>
      </c>
    </row>
    <row r="163" spans="1:10" hidden="1">
      <c r="A163" s="33">
        <f>IF(D163=0,0,IF(D162=0,A161+1,A162+1))</f>
        <v>0</v>
      </c>
      <c r="B163" s="32" t="e">
        <f>CONCATENATE('Анализ стоимости'!$AX$1," г (",CHOOSE(VLOOKUP(F$13,таблица,45,0),"Январь","Февраль","Март","Апрель","Май","Июнь","Июль","Август","Сентябрь","Октябрь","Ноябрь","Декабрь")," - ",CHOOSE(VLOOKUP(F$13,таблица,46,0),"Январь","Февраль","Март","Апрель","Май","Июнь","Июль","Август","Сентябрь","Октябрь","Ноябрь","Декабрь"),")")</f>
        <v>#VALUE!</v>
      </c>
      <c r="C163" s="33" t="s">
        <v>115</v>
      </c>
      <c r="D163" s="55">
        <f>IF(D165=0,0,VLOOKUP($F$13,таблица,50,0)*100+100)</f>
        <v>0</v>
      </c>
      <c r="J163" s="362" t="str">
        <f>IF(D163=0,"Пустая строка (убрать галочку)",1)</f>
        <v>Пустая строка (убрать галочку)</v>
      </c>
    </row>
    <row r="164" spans="1:10" hidden="1">
      <c r="A164" s="33">
        <f>IF(D164=0,0,IF(D163=0,A162+1,A163+1))</f>
        <v>0</v>
      </c>
      <c r="B164" s="32" t="str">
        <f>"Рост стоимости "&amp;'Анализ стоимости'!$AW$1&amp;" г."</f>
        <v>Рост стоимости 2018 г.</v>
      </c>
      <c r="C164" s="33" t="s">
        <v>116</v>
      </c>
      <c r="D164" s="34">
        <f>VLOOKUP($F$13,таблица,38,0)</f>
        <v>0</v>
      </c>
      <c r="J164" s="362" t="str">
        <f>IF(D164=0,"Пустая строка (убрать галочку)",1)</f>
        <v>Пустая строка (убрать галочку)</v>
      </c>
    </row>
    <row r="165" spans="1:10" hidden="1">
      <c r="A165" s="33">
        <f>IF(D165=0,0,IF(D164=0,A163+1,A164+1))</f>
        <v>0</v>
      </c>
      <c r="B165" s="32" t="str">
        <f>"Рост стоимости "&amp;'Анализ стоимости'!$AX$1&amp;" г."</f>
        <v>Рост стоимости 2019 г.</v>
      </c>
      <c r="C165" s="33" t="s">
        <v>116</v>
      </c>
      <c r="D165" s="34">
        <f>VLOOKUP($F$13,таблица,40,0)</f>
        <v>0</v>
      </c>
      <c r="J165" s="362" t="str">
        <f>IF(D165=0,"Пустая строка (убрать галочку)",1)</f>
        <v>Пустая строка (убрать галочку)</v>
      </c>
    </row>
    <row r="166" spans="1:10" hidden="1">
      <c r="A166" s="384" t="s">
        <v>117</v>
      </c>
      <c r="B166" s="384"/>
      <c r="C166" s="384"/>
      <c r="D166" s="384"/>
      <c r="J166" s="362" t="str">
        <f>IF($F$13=0,"Пустая строка (убрать галочку)",1)</f>
        <v>Пустая строка (убрать галочку)</v>
      </c>
    </row>
    <row r="167" spans="1:10" ht="31.5" hidden="1">
      <c r="A167" s="33">
        <f>IF(D167=0,0,IF(D165=0,IF(D164=0,A161+1,A164+1),A165+1))</f>
        <v>0</v>
      </c>
      <c r="B16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67" s="33" t="s">
        <v>116</v>
      </c>
      <c r="D167" s="34">
        <f>SUM(VLOOKUP($F$13,таблица,37,0),D164)</f>
        <v>0</v>
      </c>
      <c r="E167" s="7"/>
      <c r="J167" s="362" t="str">
        <f t="shared" ref="J167:J173" si="89">IF(D167=0,"Пустая строка (убрать галочку)",1)</f>
        <v>Пустая строка (убрать галочку)</v>
      </c>
    </row>
    <row r="168" spans="1:10" hidden="1">
      <c r="A168" s="33">
        <f>IF(D168=0,0,A167+1)</f>
        <v>0</v>
      </c>
      <c r="B168" s="45" t="s">
        <v>119</v>
      </c>
      <c r="C168" s="33" t="s">
        <v>116</v>
      </c>
      <c r="D168" s="34">
        <f>VLOOKUP($F$13,таблица,39,0)</f>
        <v>0</v>
      </c>
      <c r="E168" s="7"/>
      <c r="J168" s="362" t="str">
        <f t="shared" si="89"/>
        <v>Пустая строка (убрать галочку)</v>
      </c>
    </row>
    <row r="169" spans="1:10" hidden="1">
      <c r="A169" s="33">
        <f>IF(D169=0,0,A168+1)</f>
        <v>0</v>
      </c>
      <c r="B169" s="45" t="str">
        <f>"Всего с НДС на "&amp;'Анализ стоимости'!$AW$1&amp;" г."</f>
        <v>Всего с НДС на 2018 г.</v>
      </c>
      <c r="C169" s="33" t="s">
        <v>116</v>
      </c>
      <c r="D169" s="46">
        <f>SUM(D167:D168)</f>
        <v>0</v>
      </c>
      <c r="E169" s="56">
        <f>VLOOKUP($F$13,таблица,51,0)</f>
        <v>0</v>
      </c>
      <c r="J169" s="362" t="str">
        <f t="shared" si="89"/>
        <v>Пустая строка (убрать галочку)</v>
      </c>
    </row>
    <row r="170" spans="1:10" ht="31.5" hidden="1">
      <c r="A170" s="33">
        <f>IF(D170=0,0,IF(D169=0,IF(D165=0,A161+1,A165+1),A169+1))</f>
        <v>0</v>
      </c>
      <c r="B17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70" s="33" t="s">
        <v>116</v>
      </c>
      <c r="D170" s="34">
        <f>VLOOKUP($F$13,таблица,36,0)-VLOOKUP($F$13,таблица,37,0)+D165</f>
        <v>0</v>
      </c>
      <c r="J170" s="362" t="str">
        <f t="shared" si="89"/>
        <v>Пустая строка (убрать галочку)</v>
      </c>
    </row>
    <row r="171" spans="1:10" hidden="1">
      <c r="A171" s="33">
        <f>IF(D171=0,0,A170+1)</f>
        <v>0</v>
      </c>
      <c r="B171" s="45" t="s">
        <v>119</v>
      </c>
      <c r="C171" s="33" t="s">
        <v>116</v>
      </c>
      <c r="D171" s="34">
        <f>VLOOKUP($F$13,таблица,41,0)</f>
        <v>0</v>
      </c>
      <c r="J171" s="362" t="str">
        <f t="shared" si="89"/>
        <v>Пустая строка (убрать галочку)</v>
      </c>
    </row>
    <row r="172" spans="1:10" hidden="1">
      <c r="A172" s="33">
        <f>IF(D172=0,0,A171+1)</f>
        <v>0</v>
      </c>
      <c r="B172" s="45" t="str">
        <f>"Всего с НДС на "&amp;'Анализ стоимости'!$AX$1&amp;" г."</f>
        <v>Всего с НДС на 2019 г.</v>
      </c>
      <c r="C172" s="33" t="s">
        <v>116</v>
      </c>
      <c r="D172" s="46">
        <f>SUM(D170:D171)</f>
        <v>0</v>
      </c>
      <c r="E172" s="56">
        <f>VLOOKUP($F$13,таблица,52,0)</f>
        <v>0</v>
      </c>
      <c r="J172" s="362" t="str">
        <f t="shared" si="89"/>
        <v>Пустая строка (убрать галочку)</v>
      </c>
    </row>
    <row r="173" spans="1:10" hidden="1">
      <c r="A173" s="33">
        <f>IF(D173=0,0,A172+1)</f>
        <v>0</v>
      </c>
      <c r="B173" s="45" t="s">
        <v>118</v>
      </c>
      <c r="C173" s="33" t="s">
        <v>116</v>
      </c>
      <c r="D173" s="46">
        <f>IF(OR(D169=0,D172=0),0,D172+D169)</f>
        <v>0</v>
      </c>
      <c r="E173" s="56">
        <f>VLOOKUP($F$13,таблица,42,0)</f>
        <v>0</v>
      </c>
      <c r="J173" s="362" t="str">
        <f t="shared" si="89"/>
        <v>Пустая строка (убрать галочку)</v>
      </c>
    </row>
    <row r="174" spans="1:10" hidden="1">
      <c r="A174" s="13"/>
      <c r="B174" s="13"/>
      <c r="C174" s="13"/>
      <c r="D174" s="14"/>
      <c r="J174" s="362" t="str">
        <f>IF($F$13=0,"Пустая строка (убрать галочку)",1)</f>
        <v>Пустая строка (убрать галочку)</v>
      </c>
    </row>
    <row r="175" spans="1:10" ht="47.25" hidden="1" customHeight="1">
      <c r="A17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75" s="382"/>
      <c r="C175" s="66"/>
      <c r="D175" s="48" t="str">
        <f>'Анализ стоимости'!$I$101</f>
        <v>Шестопал О.Н.</v>
      </c>
      <c r="G175" s="43" t="str">
        <f>A175</f>
        <v>Специалист администрации Старонижестеблиевского сельского поселения Красноармейского района</v>
      </c>
      <c r="J175" s="362" t="str">
        <f>IF($F$13=0,"Пустая строка (убрать галочку)",1)</f>
        <v>Пустая строка (убрать галочку)</v>
      </c>
    </row>
    <row r="176" spans="1:10" hidden="1">
      <c r="A176" s="49"/>
      <c r="B176" s="49"/>
      <c r="C176" s="49"/>
      <c r="D176" s="50"/>
      <c r="J176" s="362" t="str">
        <f>IF($F$13=0,"Пустая строка (убрать галочку)",1)</f>
        <v>Пустая строка (убрать галочку)</v>
      </c>
    </row>
    <row r="177" spans="1:10" hidden="1">
      <c r="A177" s="375"/>
      <c r="B177" s="375"/>
      <c r="C177" s="3"/>
      <c r="D177" s="3"/>
      <c r="J177" s="362" t="str">
        <f>IF($F$13=0,"Пустая строка (убрать галочку)",1)</f>
        <v>Пустая строка (убрать галочку)</v>
      </c>
    </row>
    <row r="178" spans="1:10" hidden="1">
      <c r="A178" s="385" t="s">
        <v>132</v>
      </c>
      <c r="B178" s="385"/>
      <c r="C178" s="385"/>
      <c r="D178" s="385"/>
      <c r="G178" s="37"/>
      <c r="H178" s="37"/>
      <c r="J178" s="362" t="str">
        <f t="shared" ref="J178:J195" si="90">IF($F$14=0,"Пустая строка (убрать галочку)",1)</f>
        <v>Пустая строка (убрать галочку)</v>
      </c>
    </row>
    <row r="179" spans="1:10" ht="47.25" hidden="1" customHeight="1">
      <c r="A179" s="376" t="str">
        <f>CONCATENATE("Наименование объекта: ",VLOOKUP($F$14,таблица,9,0))</f>
        <v xml:space="preserve">Наименование объекта: </v>
      </c>
      <c r="B179" s="376"/>
      <c r="C179" s="376"/>
      <c r="D179" s="376"/>
      <c r="I179" s="58" t="str">
        <f>A179</f>
        <v xml:space="preserve">Наименование объекта: </v>
      </c>
      <c r="J179" s="362" t="str">
        <f t="shared" si="90"/>
        <v>Пустая строка (убрать галочку)</v>
      </c>
    </row>
    <row r="180" spans="1:10" hidden="1">
      <c r="A180" s="30"/>
      <c r="B180" s="25"/>
      <c r="C180" s="25"/>
      <c r="D180" s="25"/>
      <c r="J180" s="362" t="str">
        <f t="shared" si="90"/>
        <v>Пустая строка (убрать галочку)</v>
      </c>
    </row>
    <row r="181" spans="1:10" hidden="1">
      <c r="A181" s="29" t="s">
        <v>111</v>
      </c>
      <c r="B181" s="22"/>
      <c r="C181" s="22"/>
      <c r="D181" s="22"/>
      <c r="J181" s="362" t="str">
        <f t="shared" si="90"/>
        <v>Пустая строка (убрать галочку)</v>
      </c>
    </row>
    <row r="182" spans="1:10" hidden="1">
      <c r="A182" s="383" t="s">
        <v>112</v>
      </c>
      <c r="B182" s="383"/>
      <c r="C182" s="383"/>
      <c r="D182" s="383"/>
      <c r="J182" s="362" t="str">
        <f t="shared" si="90"/>
        <v>Пустая строка (убрать галочку)</v>
      </c>
    </row>
    <row r="183" spans="1:10" ht="47.25" hidden="1">
      <c r="A183" s="63" t="s">
        <v>67</v>
      </c>
      <c r="B183" s="63" t="s">
        <v>98</v>
      </c>
      <c r="C183" s="377" t="str">
        <f>CONCATENATE("Стоимость  согласно сметной документации (руб.) в текущих ценах по состоянию на ",VLOOKUP($F$14,таблица,5,0)," г.")</f>
        <v>Стоимость  согласно сметной документации (руб.) в текущих ценах по состоянию на  г.</v>
      </c>
      <c r="D183" s="378"/>
      <c r="H183" s="44" t="str">
        <f>C183</f>
        <v>Стоимость  согласно сметной документации (руб.) в текущих ценах по состоянию на  г.</v>
      </c>
      <c r="J183" s="362" t="str">
        <f t="shared" si="90"/>
        <v>Пустая строка (убрать галочку)</v>
      </c>
    </row>
    <row r="184" spans="1:10" hidden="1">
      <c r="A184" s="33">
        <v>1</v>
      </c>
      <c r="B184" s="32" t="s">
        <v>46</v>
      </c>
      <c r="C184" s="379">
        <f>VLOOKUP($F$14,таблица,10,0)</f>
        <v>0</v>
      </c>
      <c r="D184" s="380"/>
      <c r="J184" s="362" t="str">
        <f t="shared" si="90"/>
        <v>Пустая строка (убрать галочку)</v>
      </c>
    </row>
    <row r="185" spans="1:10" hidden="1">
      <c r="A185" s="33">
        <v>2</v>
      </c>
      <c r="B185" s="32" t="s">
        <v>41</v>
      </c>
      <c r="C185" s="379">
        <f>VLOOKUP($F$14,таблица,11,0)</f>
        <v>0</v>
      </c>
      <c r="D185" s="380"/>
      <c r="J185" s="362" t="str">
        <f t="shared" si="90"/>
        <v>Пустая строка (убрать галочку)</v>
      </c>
    </row>
    <row r="186" spans="1:10" ht="31.5" hidden="1">
      <c r="A186" s="33">
        <v>3</v>
      </c>
      <c r="B186" s="32" t="s">
        <v>3</v>
      </c>
      <c r="C186" s="379">
        <f>VLOOKUP($F$14,таблица,12,0)</f>
        <v>0</v>
      </c>
      <c r="D186" s="380"/>
      <c r="J186" s="362" t="str">
        <f t="shared" si="90"/>
        <v>Пустая строка (убрать галочку)</v>
      </c>
    </row>
    <row r="187" spans="1:10" hidden="1">
      <c r="A187" s="33">
        <v>4</v>
      </c>
      <c r="B187" s="32" t="s">
        <v>42</v>
      </c>
      <c r="C187" s="379">
        <f>VLOOKUP($F$14,таблица,13,0)</f>
        <v>0</v>
      </c>
      <c r="D187" s="380"/>
      <c r="J187" s="362" t="str">
        <f t="shared" si="90"/>
        <v>Пустая строка (убрать галочку)</v>
      </c>
    </row>
    <row r="188" spans="1:10" hidden="1">
      <c r="A188" s="33">
        <v>5</v>
      </c>
      <c r="B188" s="32" t="s">
        <v>5</v>
      </c>
      <c r="C188" s="379">
        <f>VLOOKUP($F$14,таблица,14,0)</f>
        <v>0</v>
      </c>
      <c r="D188" s="380"/>
      <c r="J188" s="362" t="str">
        <f t="shared" si="90"/>
        <v>Пустая строка (убрать галочку)</v>
      </c>
    </row>
    <row r="189" spans="1:10" hidden="1">
      <c r="A189" s="33">
        <v>6</v>
      </c>
      <c r="B189" s="32" t="s">
        <v>12</v>
      </c>
      <c r="C189" s="379">
        <f>VLOOKUP($F$14,таблица,18,0)</f>
        <v>0</v>
      </c>
      <c r="D189" s="380"/>
      <c r="J189" s="362" t="str">
        <f t="shared" si="90"/>
        <v>Пустая строка (убрать галочку)</v>
      </c>
    </row>
    <row r="190" spans="1:10" hidden="1">
      <c r="A190" s="33">
        <v>7</v>
      </c>
      <c r="B190" s="32" t="s">
        <v>88</v>
      </c>
      <c r="C190" s="379">
        <f>VLOOKUP($F$14,таблица,19,0)+VLOOKUP($F$14,таблица,21,0)+VLOOKUP($F$14,таблица,22,0)+VLOOKUP($F$14,таблица,23,0)+VLOOKUP($F$14,таблица,24,0)+VLOOKUP($F$14,таблица,25,0)+VLOOKUP($F$14,таблица,26,0)</f>
        <v>0</v>
      </c>
      <c r="D190" s="380"/>
      <c r="J190" s="362" t="str">
        <f t="shared" si="90"/>
        <v>Пустая строка (убрать галочку)</v>
      </c>
    </row>
    <row r="191" spans="1:10" hidden="1">
      <c r="A191" s="33">
        <v>8</v>
      </c>
      <c r="B191" s="32" t="s">
        <v>62</v>
      </c>
      <c r="C191" s="379">
        <f>VLOOKUP($F$14,таблица,31,0)</f>
        <v>0</v>
      </c>
      <c r="D191" s="380"/>
      <c r="J191" s="362" t="str">
        <f t="shared" si="90"/>
        <v>Пустая строка (убрать галочку)</v>
      </c>
    </row>
    <row r="192" spans="1:10" hidden="1">
      <c r="A192" s="33">
        <v>9</v>
      </c>
      <c r="B192" s="32" t="s">
        <v>127</v>
      </c>
      <c r="C192" s="379">
        <f>SUM(C184:D191)</f>
        <v>0</v>
      </c>
      <c r="D192" s="380"/>
      <c r="J192" s="362" t="str">
        <f t="shared" si="90"/>
        <v>Пустая строка (убрать галочку)</v>
      </c>
    </row>
    <row r="193" spans="1:10" hidden="1">
      <c r="A193" s="384" t="s">
        <v>122</v>
      </c>
      <c r="B193" s="384"/>
      <c r="C193" s="384"/>
      <c r="D193" s="384"/>
      <c r="J193" s="362" t="str">
        <f t="shared" si="90"/>
        <v>Пустая строка (убрать галочку)</v>
      </c>
    </row>
    <row r="194" spans="1:10" ht="31.5" hidden="1">
      <c r="A194" s="35" t="s">
        <v>67</v>
      </c>
      <c r="B194" s="63" t="s">
        <v>21</v>
      </c>
      <c r="C194" s="63" t="s">
        <v>114</v>
      </c>
      <c r="D194" s="63" t="s">
        <v>99</v>
      </c>
      <c r="J194" s="362" t="str">
        <f t="shared" si="90"/>
        <v>Пустая строка (убрать галочку)</v>
      </c>
    </row>
    <row r="195" spans="1:10" ht="36" hidden="1" customHeight="1">
      <c r="A195" s="33">
        <v>10</v>
      </c>
      <c r="B195" s="33" t="e">
        <f>VLOOKUP((VLOOKUP($F$14,таблица,8,0)),рем_содер,2,0)</f>
        <v>#N/A</v>
      </c>
      <c r="C195" s="33"/>
      <c r="D195" s="32"/>
      <c r="J195" s="362" t="str">
        <f t="shared" si="90"/>
        <v>Пустая строка (убрать галочку)</v>
      </c>
    </row>
    <row r="196" spans="1:10" hidden="1">
      <c r="A196" s="33">
        <f>IF(D196=0,0,A195+1)</f>
        <v>0</v>
      </c>
      <c r="B196" s="32" t="e">
        <f>CONCATENATE('Анализ стоимости'!$AW$1," г (",CHOOSE(VLOOKUP(F$14,таблица,43,0),"Январь","Февраль","Март","Апрель","Май","Июнь","Июль","Август","Сентябрь","Октябрь","Ноябрь","Декабрь")," - ",CHOOSE(VLOOKUP(F$14,таблица,44,0),"Январь","Февраль","Март","Апрель","Май","Июнь","Июль","Август","Сентябрь","Октябрь","Ноябрь","Декабрь"),")")</f>
        <v>#VALUE!</v>
      </c>
      <c r="C196" s="33" t="s">
        <v>115</v>
      </c>
      <c r="D196" s="55">
        <f>IF(D198=0,0,VLOOKUP($F$14,таблица,49,0)*100+100)</f>
        <v>0</v>
      </c>
      <c r="J196" s="362" t="str">
        <f>IF(D196=0,"Пустая строка (убрать галочку)",1)</f>
        <v>Пустая строка (убрать галочку)</v>
      </c>
    </row>
    <row r="197" spans="1:10" hidden="1">
      <c r="A197" s="33">
        <f>IF(D197=0,0,IF(D196=0,A195+1,A196+1))</f>
        <v>0</v>
      </c>
      <c r="B197" s="32" t="e">
        <f>CONCATENATE('Анализ стоимости'!$AX$1," г (",CHOOSE(VLOOKUP(F$14,таблица,45,0),"Январь","Февраль","Март","Апрель","Май","Июнь","Июль","Август","Сентябрь","Октябрь","Ноябрь","Декабрь")," - ",CHOOSE(VLOOKUP(F$14,таблица,46,0),"Январь","Февраль","Март","Апрель","Май","Июнь","Июль","Август","Сентябрь","Октябрь","Ноябрь","Декабрь"),")")</f>
        <v>#VALUE!</v>
      </c>
      <c r="C197" s="33" t="s">
        <v>115</v>
      </c>
      <c r="D197" s="55">
        <f>IF(D199=0,0,VLOOKUP($F$14,таблица,50,0)*100+100)</f>
        <v>0</v>
      </c>
      <c r="J197" s="362" t="str">
        <f>IF(D197=0,"Пустая строка (убрать галочку)",1)</f>
        <v>Пустая строка (убрать галочку)</v>
      </c>
    </row>
    <row r="198" spans="1:10" hidden="1">
      <c r="A198" s="33">
        <f>IF(D198=0,0,IF(D197=0,A196+1,A197+1))</f>
        <v>0</v>
      </c>
      <c r="B198" s="32" t="str">
        <f>"Рост стоимости "&amp;'Анализ стоимости'!$AW$1&amp;" г."</f>
        <v>Рост стоимости 2018 г.</v>
      </c>
      <c r="C198" s="33" t="s">
        <v>116</v>
      </c>
      <c r="D198" s="34">
        <f>VLOOKUP($F$14,таблица,38,0)</f>
        <v>0</v>
      </c>
      <c r="J198" s="362" t="str">
        <f>IF(D198=0,"Пустая строка (убрать галочку)",1)</f>
        <v>Пустая строка (убрать галочку)</v>
      </c>
    </row>
    <row r="199" spans="1:10" hidden="1">
      <c r="A199" s="33">
        <f>IF(D199=0,0,IF(D198=0,A197+1,A198+1))</f>
        <v>0</v>
      </c>
      <c r="B199" s="32" t="str">
        <f>"Рост стоимости "&amp;'Анализ стоимости'!$AX$1&amp;" г."</f>
        <v>Рост стоимости 2019 г.</v>
      </c>
      <c r="C199" s="33" t="s">
        <v>116</v>
      </c>
      <c r="D199" s="34">
        <f>VLOOKUP($F$14,таблица,40,0)</f>
        <v>0</v>
      </c>
      <c r="J199" s="362" t="str">
        <f>IF(D199=0,"Пустая строка (убрать галочку)",1)</f>
        <v>Пустая строка (убрать галочку)</v>
      </c>
    </row>
    <row r="200" spans="1:10" hidden="1">
      <c r="A200" s="384" t="s">
        <v>117</v>
      </c>
      <c r="B200" s="384"/>
      <c r="C200" s="384"/>
      <c r="D200" s="384"/>
      <c r="J200" s="362" t="str">
        <f>IF($F$14=0,"Пустая строка (убрать галочку)",1)</f>
        <v>Пустая строка (убрать галочку)</v>
      </c>
    </row>
    <row r="201" spans="1:10" ht="31.5" hidden="1">
      <c r="A201" s="33">
        <f>IF(D201=0,0,IF(D199=0,IF(D198=0,A195+1,A198+1),A199+1))</f>
        <v>0</v>
      </c>
      <c r="B20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201" s="33" t="s">
        <v>116</v>
      </c>
      <c r="D201" s="34">
        <f>SUM(VLOOKUP($F$14,таблица,37,0),D198)</f>
        <v>0</v>
      </c>
      <c r="E201" s="7"/>
      <c r="J201" s="362" t="str">
        <f t="shared" ref="J201:J207" si="91">IF(D201=0,"Пустая строка (убрать галочку)",1)</f>
        <v>Пустая строка (убрать галочку)</v>
      </c>
    </row>
    <row r="202" spans="1:10" hidden="1">
      <c r="A202" s="33">
        <f>IF(D202=0,0,A201+1)</f>
        <v>0</v>
      </c>
      <c r="B202" s="45" t="s">
        <v>119</v>
      </c>
      <c r="C202" s="33" t="s">
        <v>116</v>
      </c>
      <c r="D202" s="34">
        <f>VLOOKUP($F$14,таблица,39,0)</f>
        <v>0</v>
      </c>
      <c r="E202" s="7"/>
      <c r="J202" s="362" t="str">
        <f t="shared" si="91"/>
        <v>Пустая строка (убрать галочку)</v>
      </c>
    </row>
    <row r="203" spans="1:10" hidden="1">
      <c r="A203" s="33">
        <f>IF(D203=0,0,A202+1)</f>
        <v>0</v>
      </c>
      <c r="B203" s="45" t="str">
        <f>"Всего с НДС на "&amp;'Анализ стоимости'!$AW$1&amp;" г."</f>
        <v>Всего с НДС на 2018 г.</v>
      </c>
      <c r="C203" s="33" t="s">
        <v>116</v>
      </c>
      <c r="D203" s="46">
        <f>SUM(D201:D202)</f>
        <v>0</v>
      </c>
      <c r="E203" s="56">
        <f>VLOOKUP($F$14,таблица,51,0)</f>
        <v>0</v>
      </c>
      <c r="J203" s="362" t="str">
        <f t="shared" si="91"/>
        <v>Пустая строка (убрать галочку)</v>
      </c>
    </row>
    <row r="204" spans="1:10" ht="31.5" hidden="1">
      <c r="A204" s="33">
        <f>IF(D204=0,0,IF(D203=0,IF(D199=0,A195+1,A199+1),A203+1))</f>
        <v>0</v>
      </c>
      <c r="B20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204" s="33" t="s">
        <v>116</v>
      </c>
      <c r="D204" s="34">
        <f>VLOOKUP($F$14,таблица,36,0)-VLOOKUP($F$14,таблица,37,0)+D199</f>
        <v>0</v>
      </c>
      <c r="J204" s="362" t="str">
        <f t="shared" si="91"/>
        <v>Пустая строка (убрать галочку)</v>
      </c>
    </row>
    <row r="205" spans="1:10" hidden="1">
      <c r="A205" s="33">
        <f>IF(D205=0,0,A204+1)</f>
        <v>0</v>
      </c>
      <c r="B205" s="45" t="s">
        <v>119</v>
      </c>
      <c r="C205" s="33" t="s">
        <v>116</v>
      </c>
      <c r="D205" s="34">
        <f>VLOOKUP($F$14,таблица,41,0)</f>
        <v>0</v>
      </c>
      <c r="J205" s="362" t="str">
        <f t="shared" si="91"/>
        <v>Пустая строка (убрать галочку)</v>
      </c>
    </row>
    <row r="206" spans="1:10" hidden="1">
      <c r="A206" s="33">
        <f>IF(D206=0,0,A205+1)</f>
        <v>0</v>
      </c>
      <c r="B206" s="45" t="str">
        <f>"Всего с НДС на "&amp;'Анализ стоимости'!$AX$1&amp;" г."</f>
        <v>Всего с НДС на 2019 г.</v>
      </c>
      <c r="C206" s="33" t="s">
        <v>116</v>
      </c>
      <c r="D206" s="46">
        <f>SUM(D204:D205)</f>
        <v>0</v>
      </c>
      <c r="E206" s="56">
        <f>VLOOKUP($F$14,таблица,52,0)</f>
        <v>0</v>
      </c>
      <c r="J206" s="362" t="str">
        <f t="shared" si="91"/>
        <v>Пустая строка (убрать галочку)</v>
      </c>
    </row>
    <row r="207" spans="1:10" hidden="1">
      <c r="A207" s="33">
        <f>IF(D207=0,0,A206+1)</f>
        <v>0</v>
      </c>
      <c r="B207" s="45" t="s">
        <v>118</v>
      </c>
      <c r="C207" s="33" t="s">
        <v>116</v>
      </c>
      <c r="D207" s="46">
        <f>IF(OR(D203=0,D206=0),0,D206+D203)</f>
        <v>0</v>
      </c>
      <c r="E207" s="56">
        <f>VLOOKUP($F$14,таблица,42,0)</f>
        <v>0</v>
      </c>
      <c r="J207" s="362" t="str">
        <f t="shared" si="91"/>
        <v>Пустая строка (убрать галочку)</v>
      </c>
    </row>
    <row r="208" spans="1:10" hidden="1">
      <c r="A208" s="13"/>
      <c r="B208" s="13"/>
      <c r="C208" s="13"/>
      <c r="D208" s="14"/>
      <c r="J208" s="362" t="str">
        <f>IF($F$14=0,"Пустая строка (убрать галочку)",1)</f>
        <v>Пустая строка (убрать галочку)</v>
      </c>
    </row>
    <row r="209" spans="1:10" ht="47.25" hidden="1" customHeight="1">
      <c r="A20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209" s="382"/>
      <c r="C209" s="61"/>
      <c r="D209" s="48" t="str">
        <f>'Анализ стоимости'!$I$101</f>
        <v>Шестопал О.Н.</v>
      </c>
      <c r="G209" s="43" t="str">
        <f>A209</f>
        <v>Специалист администрации Старонижестеблиевского сельского поселения Красноармейского района</v>
      </c>
      <c r="J209" s="362" t="str">
        <f>IF($F$14=0,"Пустая строка (убрать галочку)",1)</f>
        <v>Пустая строка (убрать галочку)</v>
      </c>
    </row>
    <row r="210" spans="1:10" hidden="1">
      <c r="A210" s="49"/>
      <c r="B210" s="49"/>
      <c r="C210" s="49"/>
      <c r="D210" s="50"/>
      <c r="J210" s="362" t="str">
        <f>IF($F$14=0,"Пустая строка (убрать галочку)",1)</f>
        <v>Пустая строка (убрать галочку)</v>
      </c>
    </row>
    <row r="211" spans="1:10" hidden="1">
      <c r="A211" s="375"/>
      <c r="B211" s="375"/>
      <c r="C211" s="3"/>
      <c r="D211" s="3"/>
      <c r="J211" s="362" t="str">
        <f>IF($F$14=0,"Пустая строка (убрать галочку)",1)</f>
        <v>Пустая строка (убрать галочку)</v>
      </c>
    </row>
    <row r="212" spans="1:10" hidden="1">
      <c r="A212" s="385" t="s">
        <v>133</v>
      </c>
      <c r="B212" s="385"/>
      <c r="C212" s="385"/>
      <c r="D212" s="385"/>
      <c r="G212" s="37"/>
      <c r="H212" s="37"/>
      <c r="J212" s="362" t="str">
        <f t="shared" ref="J212:J229" si="92">IF($F$15=0,"Пустая строка (убрать галочку)",1)</f>
        <v>Пустая строка (убрать галочку)</v>
      </c>
    </row>
    <row r="213" spans="1:10" ht="47.25" hidden="1" customHeight="1">
      <c r="A213" s="376" t="str">
        <f>CONCATENATE("Наименование объекта: ",VLOOKUP($F$15,таблица,9,0))</f>
        <v xml:space="preserve">Наименование объекта: </v>
      </c>
      <c r="B213" s="376"/>
      <c r="C213" s="376"/>
      <c r="D213" s="376"/>
      <c r="I213" s="58" t="str">
        <f>A213</f>
        <v xml:space="preserve">Наименование объекта: </v>
      </c>
      <c r="J213" s="362" t="str">
        <f t="shared" si="92"/>
        <v>Пустая строка (убрать галочку)</v>
      </c>
    </row>
    <row r="214" spans="1:10" hidden="1">
      <c r="A214" s="30"/>
      <c r="B214" s="25"/>
      <c r="C214" s="25"/>
      <c r="D214" s="25"/>
      <c r="J214" s="362" t="str">
        <f t="shared" si="92"/>
        <v>Пустая строка (убрать галочку)</v>
      </c>
    </row>
    <row r="215" spans="1:10" hidden="1">
      <c r="A215" s="29" t="s">
        <v>111</v>
      </c>
      <c r="B215" s="22"/>
      <c r="C215" s="22"/>
      <c r="D215" s="22"/>
      <c r="J215" s="362" t="str">
        <f t="shared" si="92"/>
        <v>Пустая строка (убрать галочку)</v>
      </c>
    </row>
    <row r="216" spans="1:10" hidden="1">
      <c r="A216" s="383" t="s">
        <v>112</v>
      </c>
      <c r="B216" s="383"/>
      <c r="C216" s="383"/>
      <c r="D216" s="383"/>
      <c r="J216" s="362" t="str">
        <f t="shared" si="92"/>
        <v>Пустая строка (убрать галочку)</v>
      </c>
    </row>
    <row r="217" spans="1:10" ht="47.25" hidden="1">
      <c r="A217" s="63" t="s">
        <v>67</v>
      </c>
      <c r="B217" s="63" t="s">
        <v>98</v>
      </c>
      <c r="C217" s="377" t="str">
        <f>CONCATENATE("Стоимость  согласно сметной документации (руб.) в текущих ценах по состоянию на ",VLOOKUP($F$15,таблица,5,0)," г.")</f>
        <v>Стоимость  согласно сметной документации (руб.) в текущих ценах по состоянию на  г.</v>
      </c>
      <c r="D217" s="378"/>
      <c r="H217" s="44" t="str">
        <f>C217</f>
        <v>Стоимость  согласно сметной документации (руб.) в текущих ценах по состоянию на  г.</v>
      </c>
      <c r="J217" s="362" t="str">
        <f t="shared" si="92"/>
        <v>Пустая строка (убрать галочку)</v>
      </c>
    </row>
    <row r="218" spans="1:10" hidden="1">
      <c r="A218" s="33">
        <v>1</v>
      </c>
      <c r="B218" s="32" t="s">
        <v>46</v>
      </c>
      <c r="C218" s="379">
        <f>VLOOKUP($F$15,таблица,10,0)</f>
        <v>0</v>
      </c>
      <c r="D218" s="380"/>
      <c r="J218" s="362" t="str">
        <f t="shared" si="92"/>
        <v>Пустая строка (убрать галочку)</v>
      </c>
    </row>
    <row r="219" spans="1:10" hidden="1">
      <c r="A219" s="33">
        <v>2</v>
      </c>
      <c r="B219" s="32" t="s">
        <v>41</v>
      </c>
      <c r="C219" s="379">
        <f>VLOOKUP($F$15,таблица,11,0)</f>
        <v>0</v>
      </c>
      <c r="D219" s="380"/>
      <c r="J219" s="362" t="str">
        <f t="shared" si="92"/>
        <v>Пустая строка (убрать галочку)</v>
      </c>
    </row>
    <row r="220" spans="1:10" ht="31.5" hidden="1">
      <c r="A220" s="33">
        <v>3</v>
      </c>
      <c r="B220" s="32" t="s">
        <v>3</v>
      </c>
      <c r="C220" s="379">
        <f>VLOOKUP($F$15,таблица,12,0)</f>
        <v>0</v>
      </c>
      <c r="D220" s="380"/>
      <c r="J220" s="362" t="str">
        <f t="shared" si="92"/>
        <v>Пустая строка (убрать галочку)</v>
      </c>
    </row>
    <row r="221" spans="1:10" hidden="1">
      <c r="A221" s="33">
        <v>4</v>
      </c>
      <c r="B221" s="32" t="s">
        <v>42</v>
      </c>
      <c r="C221" s="379">
        <f>VLOOKUP($F$15,таблица,13,0)</f>
        <v>0</v>
      </c>
      <c r="D221" s="380"/>
      <c r="J221" s="362" t="str">
        <f t="shared" si="92"/>
        <v>Пустая строка (убрать галочку)</v>
      </c>
    </row>
    <row r="222" spans="1:10" hidden="1">
      <c r="A222" s="33">
        <v>5</v>
      </c>
      <c r="B222" s="32" t="s">
        <v>5</v>
      </c>
      <c r="C222" s="379">
        <f>VLOOKUP($F$15,таблица,14,0)</f>
        <v>0</v>
      </c>
      <c r="D222" s="380"/>
      <c r="J222" s="362" t="str">
        <f t="shared" si="92"/>
        <v>Пустая строка (убрать галочку)</v>
      </c>
    </row>
    <row r="223" spans="1:10" hidden="1">
      <c r="A223" s="33">
        <v>6</v>
      </c>
      <c r="B223" s="32" t="s">
        <v>12</v>
      </c>
      <c r="C223" s="379">
        <f>VLOOKUP($F$15,таблица,18,0)</f>
        <v>0</v>
      </c>
      <c r="D223" s="380"/>
      <c r="J223" s="362" t="str">
        <f t="shared" si="92"/>
        <v>Пустая строка (убрать галочку)</v>
      </c>
    </row>
    <row r="224" spans="1:10" hidden="1">
      <c r="A224" s="33">
        <v>7</v>
      </c>
      <c r="B224" s="32" t="s">
        <v>88</v>
      </c>
      <c r="C224" s="379">
        <f>VLOOKUP($F$15,таблица,19,0)+VLOOKUP($F$15,таблица,21,0)+VLOOKUP($F$15,таблица,22,0)+VLOOKUP($F$15,таблица,23,0)+VLOOKUP($F$15,таблица,24,0)+VLOOKUP($F$15,таблица,25,0)+VLOOKUP($F$15,таблица,26,0)</f>
        <v>0</v>
      </c>
      <c r="D224" s="380"/>
      <c r="J224" s="362" t="str">
        <f t="shared" si="92"/>
        <v>Пустая строка (убрать галочку)</v>
      </c>
    </row>
    <row r="225" spans="1:10" hidden="1">
      <c r="A225" s="33">
        <v>8</v>
      </c>
      <c r="B225" s="32" t="s">
        <v>62</v>
      </c>
      <c r="C225" s="379">
        <f>VLOOKUP($F$15,таблица,31,0)</f>
        <v>0</v>
      </c>
      <c r="D225" s="380"/>
      <c r="J225" s="362" t="str">
        <f t="shared" si="92"/>
        <v>Пустая строка (убрать галочку)</v>
      </c>
    </row>
    <row r="226" spans="1:10" hidden="1">
      <c r="A226" s="33">
        <v>9</v>
      </c>
      <c r="B226" s="32" t="s">
        <v>127</v>
      </c>
      <c r="C226" s="379">
        <f>SUM(C218:D225)</f>
        <v>0</v>
      </c>
      <c r="D226" s="380"/>
      <c r="J226" s="362" t="str">
        <f t="shared" si="92"/>
        <v>Пустая строка (убрать галочку)</v>
      </c>
    </row>
    <row r="227" spans="1:10" hidden="1">
      <c r="A227" s="384" t="s">
        <v>122</v>
      </c>
      <c r="B227" s="384"/>
      <c r="C227" s="384"/>
      <c r="D227" s="384"/>
      <c r="J227" s="362" t="str">
        <f t="shared" si="92"/>
        <v>Пустая строка (убрать галочку)</v>
      </c>
    </row>
    <row r="228" spans="1:10" ht="31.5" hidden="1">
      <c r="A228" s="35" t="s">
        <v>67</v>
      </c>
      <c r="B228" s="63" t="s">
        <v>21</v>
      </c>
      <c r="C228" s="63" t="s">
        <v>114</v>
      </c>
      <c r="D228" s="63" t="s">
        <v>99</v>
      </c>
      <c r="J228" s="362" t="str">
        <f t="shared" si="92"/>
        <v>Пустая строка (убрать галочку)</v>
      </c>
    </row>
    <row r="229" spans="1:10" hidden="1">
      <c r="A229" s="33">
        <v>10</v>
      </c>
      <c r="B229" s="33" t="e">
        <f>VLOOKUP((VLOOKUP($F$15,таблица,8,0)),рем_содер,2,0)</f>
        <v>#N/A</v>
      </c>
      <c r="C229" s="33"/>
      <c r="D229" s="32"/>
      <c r="J229" s="362" t="str">
        <f t="shared" si="92"/>
        <v>Пустая строка (убрать галочку)</v>
      </c>
    </row>
    <row r="230" spans="1:10" hidden="1">
      <c r="A230" s="33">
        <f>IF(D230=0,0,A229+1)</f>
        <v>0</v>
      </c>
      <c r="B230" s="32" t="e">
        <f>CONCATENATE('Анализ стоимости'!$AW$1," г (",CHOOSE(VLOOKUP(F$15,таблица,43,0),"Январь","Февраль","Март","Апрель","Май","Июнь","Июль","Август","Сентябрь","Октябрь","Ноябрь","Декабрь")," - ",CHOOSE(VLOOKUP(F$15,таблица,44,0),"Январь","Февраль","Март","Апрель","Май","Июнь","Июль","Август","Сентябрь","Октябрь","Ноябрь","Декабрь"),")")</f>
        <v>#VALUE!</v>
      </c>
      <c r="C230" s="33" t="s">
        <v>115</v>
      </c>
      <c r="D230" s="55">
        <f>IF(D232=0,0,VLOOKUP($F$15,таблица,49,0)*100+100)</f>
        <v>0</v>
      </c>
      <c r="J230" s="362" t="str">
        <f>IF(D230=0,"Пустая строка (убрать галочку)",1)</f>
        <v>Пустая строка (убрать галочку)</v>
      </c>
    </row>
    <row r="231" spans="1:10" hidden="1">
      <c r="A231" s="33">
        <f>IF(D231=0,0,IF(D230=0,A229+1,A230+1))</f>
        <v>0</v>
      </c>
      <c r="B231" s="32" t="e">
        <f>CONCATENATE('Анализ стоимости'!$AX$1," г (",CHOOSE(VLOOKUP(F$15,таблица,45,0),"Январь","Февраль","Март","Апрель","Май","Июнь","Июль","Август","Сентябрь","Октябрь","Ноябрь","Декабрь")," - ",CHOOSE(VLOOKUP(F$15,таблица,46,0),"Январь","Февраль","Март","Апрель","Май","Июнь","Июль","Август","Сентябрь","Октябрь","Ноябрь","Декабрь"),")")</f>
        <v>#VALUE!</v>
      </c>
      <c r="C231" s="33" t="s">
        <v>115</v>
      </c>
      <c r="D231" s="55">
        <f>IF(D233=0,0,VLOOKUP($F$15,таблица,50,0)*100+100)</f>
        <v>0</v>
      </c>
      <c r="J231" s="362" t="str">
        <f>IF(D231=0,"Пустая строка (убрать галочку)",1)</f>
        <v>Пустая строка (убрать галочку)</v>
      </c>
    </row>
    <row r="232" spans="1:10" hidden="1">
      <c r="A232" s="33">
        <f>IF(D232=0,0,IF(D231=0,A230+1,A231+1))</f>
        <v>0</v>
      </c>
      <c r="B232" s="32" t="str">
        <f>"Рост стоимости "&amp;'Анализ стоимости'!$AW$1&amp;" г."</f>
        <v>Рост стоимости 2018 г.</v>
      </c>
      <c r="C232" s="33" t="s">
        <v>116</v>
      </c>
      <c r="D232" s="34">
        <f>VLOOKUP($F$15,таблица,38,0)</f>
        <v>0</v>
      </c>
      <c r="J232" s="362" t="str">
        <f>IF(D232=0,"Пустая строка (убрать галочку)",1)</f>
        <v>Пустая строка (убрать галочку)</v>
      </c>
    </row>
    <row r="233" spans="1:10" hidden="1">
      <c r="A233" s="33">
        <f>IF(D233=0,0,IF(D232=0,A231+1,A232+1))</f>
        <v>0</v>
      </c>
      <c r="B233" s="32" t="str">
        <f>"Рост стоимости "&amp;'Анализ стоимости'!$AX$1&amp;" г."</f>
        <v>Рост стоимости 2019 г.</v>
      </c>
      <c r="C233" s="33" t="s">
        <v>116</v>
      </c>
      <c r="D233" s="34">
        <f>VLOOKUP($F$15,таблица,40,0)</f>
        <v>0</v>
      </c>
      <c r="J233" s="362" t="str">
        <f>IF(D233=0,"Пустая строка (убрать галочку)",1)</f>
        <v>Пустая строка (убрать галочку)</v>
      </c>
    </row>
    <row r="234" spans="1:10" hidden="1">
      <c r="A234" s="384" t="s">
        <v>117</v>
      </c>
      <c r="B234" s="384"/>
      <c r="C234" s="384"/>
      <c r="D234" s="384"/>
      <c r="J234" s="362" t="str">
        <f>IF($F$15=0,"Пустая строка (убрать галочку)",1)</f>
        <v>Пустая строка (убрать галочку)</v>
      </c>
    </row>
    <row r="235" spans="1:10" ht="31.5" hidden="1">
      <c r="A235" s="33">
        <f>IF(D235=0,0,IF(D233=0,IF(D232=0,A229+1,A232+1),A233+1))</f>
        <v>0</v>
      </c>
      <c r="B23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235" s="33" t="s">
        <v>116</v>
      </c>
      <c r="D235" s="34">
        <f>SUM(VLOOKUP($F$15,таблица,37,0),D232)</f>
        <v>0</v>
      </c>
      <c r="E235" s="7"/>
      <c r="J235" s="362" t="str">
        <f t="shared" ref="J235:J241" si="93">IF(D235=0,"Пустая строка (убрать галочку)",1)</f>
        <v>Пустая строка (убрать галочку)</v>
      </c>
    </row>
    <row r="236" spans="1:10" hidden="1">
      <c r="A236" s="33">
        <f>IF(D236=0,0,A235+1)</f>
        <v>0</v>
      </c>
      <c r="B236" s="45" t="s">
        <v>119</v>
      </c>
      <c r="C236" s="33" t="s">
        <v>116</v>
      </c>
      <c r="D236" s="34">
        <f>VLOOKUP($F$15,таблица,39,0)</f>
        <v>0</v>
      </c>
      <c r="E236" s="7"/>
      <c r="J236" s="362" t="str">
        <f t="shared" si="93"/>
        <v>Пустая строка (убрать галочку)</v>
      </c>
    </row>
    <row r="237" spans="1:10" hidden="1">
      <c r="A237" s="33">
        <f>IF(D237=0,0,A236+1)</f>
        <v>0</v>
      </c>
      <c r="B237" s="45" t="str">
        <f>"Всего с НДС на "&amp;'Анализ стоимости'!$AW$1&amp;" г."</f>
        <v>Всего с НДС на 2018 г.</v>
      </c>
      <c r="C237" s="33" t="s">
        <v>116</v>
      </c>
      <c r="D237" s="46">
        <f>SUM(D235:D236)</f>
        <v>0</v>
      </c>
      <c r="E237" s="56">
        <f>VLOOKUP($F$15,таблица,51,0)</f>
        <v>0</v>
      </c>
      <c r="J237" s="362" t="str">
        <f t="shared" si="93"/>
        <v>Пустая строка (убрать галочку)</v>
      </c>
    </row>
    <row r="238" spans="1:10" ht="31.5" hidden="1">
      <c r="A238" s="33">
        <f>IF(D238=0,0,IF(D237=0,IF(D233=0,A229+1,A233+1),A237+1))</f>
        <v>0</v>
      </c>
      <c r="B23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238" s="33" t="s">
        <v>116</v>
      </c>
      <c r="D238" s="34">
        <f>VLOOKUP($F$15,таблица,36,0)-VLOOKUP($F$15,таблица,37,0)+D233</f>
        <v>0</v>
      </c>
      <c r="J238" s="362" t="str">
        <f t="shared" si="93"/>
        <v>Пустая строка (убрать галочку)</v>
      </c>
    </row>
    <row r="239" spans="1:10" hidden="1">
      <c r="A239" s="33">
        <f>IF(D239=0,0,A238+1)</f>
        <v>0</v>
      </c>
      <c r="B239" s="45" t="s">
        <v>119</v>
      </c>
      <c r="C239" s="33" t="s">
        <v>116</v>
      </c>
      <c r="D239" s="34">
        <f>VLOOKUP($F$15,таблица,41,0)</f>
        <v>0</v>
      </c>
      <c r="J239" s="362" t="str">
        <f t="shared" si="93"/>
        <v>Пустая строка (убрать галочку)</v>
      </c>
    </row>
    <row r="240" spans="1:10" hidden="1">
      <c r="A240" s="33">
        <f>IF(D240=0,0,A239+1)</f>
        <v>0</v>
      </c>
      <c r="B240" s="45" t="str">
        <f>"Всего с НДС на "&amp;'Анализ стоимости'!$AX$1&amp;" г."</f>
        <v>Всего с НДС на 2019 г.</v>
      </c>
      <c r="C240" s="33" t="s">
        <v>116</v>
      </c>
      <c r="D240" s="46">
        <f>SUM(D238:D239)</f>
        <v>0</v>
      </c>
      <c r="E240" s="56">
        <f>VLOOKUP($F$15,таблица,52,0)</f>
        <v>0</v>
      </c>
      <c r="J240" s="362" t="str">
        <f t="shared" si="93"/>
        <v>Пустая строка (убрать галочку)</v>
      </c>
    </row>
    <row r="241" spans="1:10" hidden="1">
      <c r="A241" s="33">
        <f>IF(D241=0,0,A240+1)</f>
        <v>0</v>
      </c>
      <c r="B241" s="45" t="s">
        <v>118</v>
      </c>
      <c r="C241" s="33" t="s">
        <v>116</v>
      </c>
      <c r="D241" s="46">
        <f>IF(OR(D237=0,D240=0),0,D240+D237)</f>
        <v>0</v>
      </c>
      <c r="E241" s="56">
        <f>VLOOKUP($F$15,таблица,42,0)</f>
        <v>0</v>
      </c>
      <c r="J241" s="362" t="str">
        <f t="shared" si="93"/>
        <v>Пустая строка (убрать галочку)</v>
      </c>
    </row>
    <row r="242" spans="1:10" hidden="1">
      <c r="A242" s="13"/>
      <c r="B242" s="13"/>
      <c r="C242" s="13"/>
      <c r="D242" s="14"/>
      <c r="J242" s="362" t="str">
        <f>IF($F$15=0,"Пустая строка (убрать галочку)",1)</f>
        <v>Пустая строка (убрать галочку)</v>
      </c>
    </row>
    <row r="243" spans="1:10" ht="47.25" hidden="1" customHeight="1">
      <c r="A24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243" s="382"/>
      <c r="C243" s="61"/>
      <c r="D243" s="48" t="str">
        <f>'Анализ стоимости'!$I$101</f>
        <v>Шестопал О.Н.</v>
      </c>
      <c r="G243" s="43" t="str">
        <f>A243</f>
        <v>Специалист администрации Старонижестеблиевского сельского поселения Красноармейского района</v>
      </c>
      <c r="J243" s="362" t="str">
        <f>IF($F$15=0,"Пустая строка (убрать галочку)",1)</f>
        <v>Пустая строка (убрать галочку)</v>
      </c>
    </row>
    <row r="244" spans="1:10" hidden="1">
      <c r="A244" s="49"/>
      <c r="B244" s="49"/>
      <c r="C244" s="49"/>
      <c r="D244" s="50"/>
      <c r="J244" s="362" t="str">
        <f>IF($F$15=0,"Пустая строка (убрать галочку)",1)</f>
        <v>Пустая строка (убрать галочку)</v>
      </c>
    </row>
    <row r="245" spans="1:10" hidden="1">
      <c r="A245" s="375"/>
      <c r="B245" s="375"/>
      <c r="C245" s="3"/>
      <c r="D245" s="3"/>
      <c r="J245" s="362" t="str">
        <f>IF($F$15=0,"Пустая строка (убрать галочку)",1)</f>
        <v>Пустая строка (убрать галочку)</v>
      </c>
    </row>
    <row r="246" spans="1:10" hidden="1">
      <c r="A246" s="385" t="s">
        <v>134</v>
      </c>
      <c r="B246" s="385"/>
      <c r="C246" s="385"/>
      <c r="D246" s="385"/>
      <c r="G246" s="37"/>
      <c r="H246" s="37"/>
      <c r="J246" s="362" t="str">
        <f t="shared" ref="J246:J263" si="94">IF($F$16=0,"Пустая строка (убрать галочку)",1)</f>
        <v>Пустая строка (убрать галочку)</v>
      </c>
    </row>
    <row r="247" spans="1:10" ht="47.25" hidden="1" customHeight="1">
      <c r="A247" s="376" t="str">
        <f>CONCATENATE("Наименование объекта: ",VLOOKUP($F$16,таблица,9,0))</f>
        <v xml:space="preserve">Наименование объекта: </v>
      </c>
      <c r="B247" s="376"/>
      <c r="C247" s="376"/>
      <c r="D247" s="376"/>
      <c r="I247" s="58" t="str">
        <f>A247</f>
        <v xml:space="preserve">Наименование объекта: </v>
      </c>
      <c r="J247" s="362" t="str">
        <f t="shared" si="94"/>
        <v>Пустая строка (убрать галочку)</v>
      </c>
    </row>
    <row r="248" spans="1:10" hidden="1">
      <c r="A248" s="30"/>
      <c r="B248" s="25"/>
      <c r="C248" s="25"/>
      <c r="D248" s="25"/>
      <c r="J248" s="362" t="str">
        <f t="shared" si="94"/>
        <v>Пустая строка (убрать галочку)</v>
      </c>
    </row>
    <row r="249" spans="1:10" hidden="1">
      <c r="A249" s="29" t="s">
        <v>111</v>
      </c>
      <c r="B249" s="22"/>
      <c r="C249" s="22"/>
      <c r="D249" s="22"/>
      <c r="J249" s="362" t="str">
        <f t="shared" si="94"/>
        <v>Пустая строка (убрать галочку)</v>
      </c>
    </row>
    <row r="250" spans="1:10" hidden="1">
      <c r="A250" s="383" t="s">
        <v>112</v>
      </c>
      <c r="B250" s="383"/>
      <c r="C250" s="383"/>
      <c r="D250" s="383"/>
      <c r="J250" s="362" t="str">
        <f t="shared" si="94"/>
        <v>Пустая строка (убрать галочку)</v>
      </c>
    </row>
    <row r="251" spans="1:10" ht="47.25" hidden="1">
      <c r="A251" s="63" t="s">
        <v>67</v>
      </c>
      <c r="B251" s="63" t="s">
        <v>98</v>
      </c>
      <c r="C251" s="377" t="str">
        <f>CONCATENATE("Стоимость  согласно сметной документации (руб.) в текущих ценах по состоянию на ",VLOOKUP($F$16,таблица,5,0)," г.")</f>
        <v>Стоимость  согласно сметной документации (руб.) в текущих ценах по состоянию на  г.</v>
      </c>
      <c r="D251" s="378"/>
      <c r="H251" s="44" t="str">
        <f>C251</f>
        <v>Стоимость  согласно сметной документации (руб.) в текущих ценах по состоянию на  г.</v>
      </c>
      <c r="J251" s="362" t="str">
        <f t="shared" si="94"/>
        <v>Пустая строка (убрать галочку)</v>
      </c>
    </row>
    <row r="252" spans="1:10" hidden="1">
      <c r="A252" s="33">
        <v>1</v>
      </c>
      <c r="B252" s="32" t="s">
        <v>46</v>
      </c>
      <c r="C252" s="379">
        <f>VLOOKUP($F$16,таблица,10,0)</f>
        <v>0</v>
      </c>
      <c r="D252" s="380"/>
      <c r="J252" s="362" t="str">
        <f t="shared" si="94"/>
        <v>Пустая строка (убрать галочку)</v>
      </c>
    </row>
    <row r="253" spans="1:10" hidden="1">
      <c r="A253" s="33">
        <v>2</v>
      </c>
      <c r="B253" s="32" t="s">
        <v>41</v>
      </c>
      <c r="C253" s="379">
        <f>VLOOKUP($F$16,таблица,11,0)</f>
        <v>0</v>
      </c>
      <c r="D253" s="380"/>
      <c r="J253" s="362" t="str">
        <f t="shared" si="94"/>
        <v>Пустая строка (убрать галочку)</v>
      </c>
    </row>
    <row r="254" spans="1:10" ht="31.5" hidden="1">
      <c r="A254" s="33">
        <v>3</v>
      </c>
      <c r="B254" s="32" t="s">
        <v>3</v>
      </c>
      <c r="C254" s="379">
        <f>VLOOKUP($F$16,таблица,12,0)</f>
        <v>0</v>
      </c>
      <c r="D254" s="380"/>
      <c r="J254" s="362" t="str">
        <f t="shared" si="94"/>
        <v>Пустая строка (убрать галочку)</v>
      </c>
    </row>
    <row r="255" spans="1:10" hidden="1">
      <c r="A255" s="33">
        <v>4</v>
      </c>
      <c r="B255" s="32" t="s">
        <v>42</v>
      </c>
      <c r="C255" s="379">
        <f>VLOOKUP($F$16,таблица,13,0)</f>
        <v>0</v>
      </c>
      <c r="D255" s="380"/>
      <c r="J255" s="362" t="str">
        <f t="shared" si="94"/>
        <v>Пустая строка (убрать галочку)</v>
      </c>
    </row>
    <row r="256" spans="1:10" hidden="1">
      <c r="A256" s="33">
        <v>5</v>
      </c>
      <c r="B256" s="32" t="s">
        <v>5</v>
      </c>
      <c r="C256" s="379">
        <f>VLOOKUP($F$16,таблица,14,0)</f>
        <v>0</v>
      </c>
      <c r="D256" s="380"/>
      <c r="J256" s="362" t="str">
        <f t="shared" si="94"/>
        <v>Пустая строка (убрать галочку)</v>
      </c>
    </row>
    <row r="257" spans="1:10" hidden="1">
      <c r="A257" s="33">
        <v>6</v>
      </c>
      <c r="B257" s="32" t="s">
        <v>12</v>
      </c>
      <c r="C257" s="379">
        <f>VLOOKUP($F$16,таблица,18,0)</f>
        <v>0</v>
      </c>
      <c r="D257" s="380"/>
      <c r="J257" s="362" t="str">
        <f t="shared" si="94"/>
        <v>Пустая строка (убрать галочку)</v>
      </c>
    </row>
    <row r="258" spans="1:10" hidden="1">
      <c r="A258" s="33">
        <v>7</v>
      </c>
      <c r="B258" s="32" t="s">
        <v>88</v>
      </c>
      <c r="C258" s="379">
        <f>VLOOKUP($F$16,таблица,19,0)+VLOOKUP($F$16,таблица,21,0)+VLOOKUP($F$16,таблица,22,0)+VLOOKUP($F$16,таблица,23,0)+VLOOKUP($F$16,таблица,24,0)+VLOOKUP($F$16,таблица,25,0)+VLOOKUP($F$16,таблица,26,0)</f>
        <v>0</v>
      </c>
      <c r="D258" s="380"/>
      <c r="J258" s="362" t="str">
        <f t="shared" si="94"/>
        <v>Пустая строка (убрать галочку)</v>
      </c>
    </row>
    <row r="259" spans="1:10" hidden="1">
      <c r="A259" s="33">
        <v>8</v>
      </c>
      <c r="B259" s="32" t="s">
        <v>62</v>
      </c>
      <c r="C259" s="379">
        <f>VLOOKUP($F$16,таблица,31,0)</f>
        <v>0</v>
      </c>
      <c r="D259" s="380"/>
      <c r="J259" s="362" t="str">
        <f t="shared" si="94"/>
        <v>Пустая строка (убрать галочку)</v>
      </c>
    </row>
    <row r="260" spans="1:10" hidden="1">
      <c r="A260" s="33">
        <v>9</v>
      </c>
      <c r="B260" s="32" t="s">
        <v>127</v>
      </c>
      <c r="C260" s="379">
        <f>SUM(C252:D259)</f>
        <v>0</v>
      </c>
      <c r="D260" s="380"/>
      <c r="J260" s="362" t="str">
        <f t="shared" si="94"/>
        <v>Пустая строка (убрать галочку)</v>
      </c>
    </row>
    <row r="261" spans="1:10" hidden="1">
      <c r="A261" s="384" t="s">
        <v>122</v>
      </c>
      <c r="B261" s="384"/>
      <c r="C261" s="384"/>
      <c r="D261" s="384"/>
      <c r="J261" s="362" t="str">
        <f t="shared" si="94"/>
        <v>Пустая строка (убрать галочку)</v>
      </c>
    </row>
    <row r="262" spans="1:10" ht="31.5" hidden="1">
      <c r="A262" s="35" t="s">
        <v>67</v>
      </c>
      <c r="B262" s="63" t="s">
        <v>21</v>
      </c>
      <c r="C262" s="63" t="s">
        <v>114</v>
      </c>
      <c r="D262" s="63" t="s">
        <v>99</v>
      </c>
      <c r="J262" s="362" t="str">
        <f t="shared" si="94"/>
        <v>Пустая строка (убрать галочку)</v>
      </c>
    </row>
    <row r="263" spans="1:10" hidden="1">
      <c r="A263" s="33">
        <v>10</v>
      </c>
      <c r="B263" s="33" t="e">
        <f>VLOOKUP((VLOOKUP($F$16,таблица,8,0)),рем_содер,2,0)</f>
        <v>#N/A</v>
      </c>
      <c r="C263" s="33"/>
      <c r="D263" s="32"/>
      <c r="J263" s="362" t="str">
        <f t="shared" si="94"/>
        <v>Пустая строка (убрать галочку)</v>
      </c>
    </row>
    <row r="264" spans="1:10" hidden="1">
      <c r="A264" s="33">
        <f>IF(D264=0,0,A263+1)</f>
        <v>0</v>
      </c>
      <c r="B264" s="32" t="e">
        <f>CONCATENATE('Анализ стоимости'!$AW$1," г (",CHOOSE(VLOOKUP(F$16,таблица,43,0),"Январь","Февраль","Март","Апрель","Май","Июнь","Июль","Август","Сентябрь","Октябрь","Ноябрь","Декабрь")," - ",CHOOSE(VLOOKUP(F$16,таблица,44,0),"Январь","Февраль","Март","Апрель","Май","Июнь","Июль","Август","Сентябрь","Октябрь","Ноябрь","Декабрь"),")")</f>
        <v>#VALUE!</v>
      </c>
      <c r="C264" s="33" t="s">
        <v>115</v>
      </c>
      <c r="D264" s="55">
        <f>IF(D266=0,0,VLOOKUP($F$16,таблица,49,0)*100+100)</f>
        <v>0</v>
      </c>
      <c r="J264" s="362" t="str">
        <f>IF(D264=0,"Пустая строка (убрать галочку)",1)</f>
        <v>Пустая строка (убрать галочку)</v>
      </c>
    </row>
    <row r="265" spans="1:10" hidden="1">
      <c r="A265" s="33">
        <f>IF(D265=0,0,IF(D264=0,A263+1,A264+1))</f>
        <v>0</v>
      </c>
      <c r="B265" s="32" t="e">
        <f>CONCATENATE('Анализ стоимости'!$AX$1," г (",CHOOSE(VLOOKUP(F$16,таблица,45,0),"Январь","Февраль","Март","Апрель","Май","Июнь","Июль","Август","Сентябрь","Октябрь","Ноябрь","Декабрь")," - ",CHOOSE(VLOOKUP(F$16,таблица,46,0),"Январь","Февраль","Март","Апрель","Май","Июнь","Июль","Август","Сентябрь","Октябрь","Ноябрь","Декабрь"),")")</f>
        <v>#VALUE!</v>
      </c>
      <c r="C265" s="33" t="s">
        <v>115</v>
      </c>
      <c r="D265" s="55">
        <f>IF(D267=0,0,VLOOKUP($F$16,таблица,50,0)*100+100)</f>
        <v>0</v>
      </c>
      <c r="J265" s="362" t="str">
        <f>IF(D265=0,"Пустая строка (убрать галочку)",1)</f>
        <v>Пустая строка (убрать галочку)</v>
      </c>
    </row>
    <row r="266" spans="1:10" hidden="1">
      <c r="A266" s="33">
        <f>IF(D266=0,0,IF(D265=0,A264+1,A265+1))</f>
        <v>0</v>
      </c>
      <c r="B266" s="32" t="str">
        <f>"Рост стоимости "&amp;'Анализ стоимости'!$AW$1&amp;" г."</f>
        <v>Рост стоимости 2018 г.</v>
      </c>
      <c r="C266" s="33" t="s">
        <v>116</v>
      </c>
      <c r="D266" s="34">
        <f>VLOOKUP($F$16,таблица,38,0)</f>
        <v>0</v>
      </c>
      <c r="J266" s="362" t="str">
        <f>IF(D266=0,"Пустая строка (убрать галочку)",1)</f>
        <v>Пустая строка (убрать галочку)</v>
      </c>
    </row>
    <row r="267" spans="1:10" hidden="1">
      <c r="A267" s="33">
        <f>IF(D267=0,0,IF(D266=0,A265+1,A266+1))</f>
        <v>0</v>
      </c>
      <c r="B267" s="32" t="str">
        <f>"Рост стоимости "&amp;'Анализ стоимости'!$AX$1&amp;" г."</f>
        <v>Рост стоимости 2019 г.</v>
      </c>
      <c r="C267" s="33" t="s">
        <v>116</v>
      </c>
      <c r="D267" s="34">
        <f>VLOOKUP($F$16,таблица,40,0)</f>
        <v>0</v>
      </c>
      <c r="J267" s="362" t="str">
        <f>IF(D267=0,"Пустая строка (убрать галочку)",1)</f>
        <v>Пустая строка (убрать галочку)</v>
      </c>
    </row>
    <row r="268" spans="1:10" hidden="1">
      <c r="A268" s="384" t="s">
        <v>117</v>
      </c>
      <c r="B268" s="384"/>
      <c r="C268" s="384"/>
      <c r="D268" s="384"/>
      <c r="J268" s="362" t="str">
        <f>IF($F$16=0,"Пустая строка (убрать галочку)",1)</f>
        <v>Пустая строка (убрать галочку)</v>
      </c>
    </row>
    <row r="269" spans="1:10" ht="31.5" hidden="1">
      <c r="A269" s="33">
        <f>IF(D269=0,0,IF(D267=0,IF(D266=0,A263+1,A266+1),A267+1))</f>
        <v>0</v>
      </c>
      <c r="B26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269" s="33" t="s">
        <v>116</v>
      </c>
      <c r="D269" s="34">
        <f>SUM(VLOOKUP($F$16,таблица,37,0),D266)</f>
        <v>0</v>
      </c>
      <c r="E269" s="7"/>
      <c r="J269" s="362" t="str">
        <f t="shared" ref="J269:J275" si="95">IF(D269=0,"Пустая строка (убрать галочку)",1)</f>
        <v>Пустая строка (убрать галочку)</v>
      </c>
    </row>
    <row r="270" spans="1:10" hidden="1">
      <c r="A270" s="33">
        <f>IF(D270=0,0,A269+1)</f>
        <v>0</v>
      </c>
      <c r="B270" s="45" t="s">
        <v>119</v>
      </c>
      <c r="C270" s="33" t="s">
        <v>116</v>
      </c>
      <c r="D270" s="34">
        <f>VLOOKUP($F$16,таблица,39,0)</f>
        <v>0</v>
      </c>
      <c r="E270" s="7"/>
      <c r="J270" s="362" t="str">
        <f t="shared" si="95"/>
        <v>Пустая строка (убрать галочку)</v>
      </c>
    </row>
    <row r="271" spans="1:10" hidden="1">
      <c r="A271" s="33">
        <f>IF(D271=0,0,A270+1)</f>
        <v>0</v>
      </c>
      <c r="B271" s="45" t="str">
        <f>"Всего с НДС на "&amp;'Анализ стоимости'!$AW$1&amp;" г."</f>
        <v>Всего с НДС на 2018 г.</v>
      </c>
      <c r="C271" s="33" t="s">
        <v>116</v>
      </c>
      <c r="D271" s="46">
        <f>SUM(D269:D270)</f>
        <v>0</v>
      </c>
      <c r="E271" s="56">
        <f>VLOOKUP($F$16,таблица,51,0)</f>
        <v>0</v>
      </c>
      <c r="J271" s="362" t="str">
        <f t="shared" si="95"/>
        <v>Пустая строка (убрать галочку)</v>
      </c>
    </row>
    <row r="272" spans="1:10" ht="31.5" hidden="1">
      <c r="A272" s="33">
        <f>IF(D272=0,0,IF(D271=0,IF(D267=0,A263+1,A267+1),A271+1))</f>
        <v>0</v>
      </c>
      <c r="B27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272" s="33" t="s">
        <v>116</v>
      </c>
      <c r="D272" s="34">
        <f>VLOOKUP($F$16,таблица,36,0)-VLOOKUP($F$16,таблица,37,0)+D267</f>
        <v>0</v>
      </c>
      <c r="J272" s="362" t="str">
        <f t="shared" si="95"/>
        <v>Пустая строка (убрать галочку)</v>
      </c>
    </row>
    <row r="273" spans="1:10" hidden="1">
      <c r="A273" s="33">
        <f>IF(D273=0,0,A272+1)</f>
        <v>0</v>
      </c>
      <c r="B273" s="45" t="s">
        <v>119</v>
      </c>
      <c r="C273" s="33" t="s">
        <v>116</v>
      </c>
      <c r="D273" s="34">
        <f>VLOOKUP($F$16,таблица,41,0)</f>
        <v>0</v>
      </c>
      <c r="J273" s="362" t="str">
        <f t="shared" si="95"/>
        <v>Пустая строка (убрать галочку)</v>
      </c>
    </row>
    <row r="274" spans="1:10" hidden="1">
      <c r="A274" s="33">
        <f>IF(D274=0,0,A273+1)</f>
        <v>0</v>
      </c>
      <c r="B274" s="45" t="str">
        <f>"Всего с НДС на "&amp;'Анализ стоимости'!$AX$1&amp;" г."</f>
        <v>Всего с НДС на 2019 г.</v>
      </c>
      <c r="C274" s="33" t="s">
        <v>116</v>
      </c>
      <c r="D274" s="46">
        <f>SUM(D272:D273)</f>
        <v>0</v>
      </c>
      <c r="E274" s="56">
        <f>VLOOKUP($F$16,таблица,52,0)</f>
        <v>0</v>
      </c>
      <c r="J274" s="362" t="str">
        <f t="shared" si="95"/>
        <v>Пустая строка (убрать галочку)</v>
      </c>
    </row>
    <row r="275" spans="1:10" hidden="1">
      <c r="A275" s="33">
        <f>IF(D275=0,0,A274+1)</f>
        <v>0</v>
      </c>
      <c r="B275" s="45" t="s">
        <v>118</v>
      </c>
      <c r="C275" s="33" t="s">
        <v>116</v>
      </c>
      <c r="D275" s="46">
        <f>IF(OR(D271=0,D274=0),0,D274+D271)</f>
        <v>0</v>
      </c>
      <c r="E275" s="56">
        <f>VLOOKUP($F$16,таблица,42,0)</f>
        <v>0</v>
      </c>
      <c r="J275" s="362" t="str">
        <f t="shared" si="95"/>
        <v>Пустая строка (убрать галочку)</v>
      </c>
    </row>
    <row r="276" spans="1:10" hidden="1">
      <c r="A276" s="13"/>
      <c r="B276" s="13"/>
      <c r="C276" s="13"/>
      <c r="D276" s="14"/>
      <c r="J276" s="362" t="str">
        <f>IF($F$16=0,"Пустая строка (убрать галочку)",1)</f>
        <v>Пустая строка (убрать галочку)</v>
      </c>
    </row>
    <row r="277" spans="1:10" ht="47.25" hidden="1" customHeight="1">
      <c r="A27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277" s="382"/>
      <c r="C277" s="61"/>
      <c r="D277" s="48" t="str">
        <f>'Анализ стоимости'!$I$101</f>
        <v>Шестопал О.Н.</v>
      </c>
      <c r="G277" s="43" t="str">
        <f>A277</f>
        <v>Специалист администрации Старонижестеблиевского сельского поселения Красноармейского района</v>
      </c>
      <c r="J277" s="362" t="str">
        <f>IF($F$16=0,"Пустая строка (убрать галочку)",1)</f>
        <v>Пустая строка (убрать галочку)</v>
      </c>
    </row>
    <row r="278" spans="1:10" hidden="1">
      <c r="A278" s="49"/>
      <c r="B278" s="49"/>
      <c r="C278" s="49"/>
      <c r="D278" s="50"/>
      <c r="J278" s="362" t="str">
        <f>IF($F$16=0,"Пустая строка (убрать галочку)",1)</f>
        <v>Пустая строка (убрать галочку)</v>
      </c>
    </row>
    <row r="279" spans="1:10" hidden="1">
      <c r="A279" s="375"/>
      <c r="B279" s="375"/>
      <c r="C279" s="3"/>
      <c r="D279" s="3"/>
      <c r="J279" s="362" t="str">
        <f>IF($F$16=0,"Пустая строка (убрать галочку)",1)</f>
        <v>Пустая строка (убрать галочку)</v>
      </c>
    </row>
    <row r="280" spans="1:10" hidden="1">
      <c r="A280" s="385" t="s">
        <v>135</v>
      </c>
      <c r="B280" s="385"/>
      <c r="C280" s="385"/>
      <c r="D280" s="385"/>
      <c r="G280" s="37"/>
      <c r="H280" s="37"/>
      <c r="J280" s="362" t="str">
        <f t="shared" ref="J280:J297" si="96">IF($F$17=0,"Пустая строка (убрать галочку)",1)</f>
        <v>Пустая строка (убрать галочку)</v>
      </c>
    </row>
    <row r="281" spans="1:10" ht="47.25" hidden="1" customHeight="1">
      <c r="A281" s="376" t="str">
        <f>CONCATENATE("Наименование объекта: ",VLOOKUP($F$17,таблица,9,0))</f>
        <v xml:space="preserve">Наименование объекта: </v>
      </c>
      <c r="B281" s="376"/>
      <c r="C281" s="376"/>
      <c r="D281" s="376"/>
      <c r="I281" s="58" t="str">
        <f>A281</f>
        <v xml:space="preserve">Наименование объекта: </v>
      </c>
      <c r="J281" s="362" t="str">
        <f t="shared" si="96"/>
        <v>Пустая строка (убрать галочку)</v>
      </c>
    </row>
    <row r="282" spans="1:10" hidden="1">
      <c r="A282" s="30"/>
      <c r="B282" s="25"/>
      <c r="C282" s="25"/>
      <c r="D282" s="25"/>
      <c r="J282" s="362" t="str">
        <f t="shared" si="96"/>
        <v>Пустая строка (убрать галочку)</v>
      </c>
    </row>
    <row r="283" spans="1:10" hidden="1">
      <c r="A283" s="29" t="s">
        <v>111</v>
      </c>
      <c r="B283" s="22"/>
      <c r="C283" s="22"/>
      <c r="D283" s="22"/>
      <c r="J283" s="362" t="str">
        <f t="shared" si="96"/>
        <v>Пустая строка (убрать галочку)</v>
      </c>
    </row>
    <row r="284" spans="1:10" hidden="1">
      <c r="A284" s="383" t="s">
        <v>112</v>
      </c>
      <c r="B284" s="383"/>
      <c r="C284" s="383"/>
      <c r="D284" s="383"/>
      <c r="J284" s="362" t="str">
        <f t="shared" si="96"/>
        <v>Пустая строка (убрать галочку)</v>
      </c>
    </row>
    <row r="285" spans="1:10" ht="47.25" hidden="1">
      <c r="A285" s="63" t="s">
        <v>67</v>
      </c>
      <c r="B285" s="63" t="s">
        <v>98</v>
      </c>
      <c r="C285" s="377" t="str">
        <f>CONCATENATE("Стоимость  согласно сметной документации (руб.) в текущих ценах по состоянию на ",VLOOKUP($F$17,таблица,5,0)," г.")</f>
        <v>Стоимость  согласно сметной документации (руб.) в текущих ценах по состоянию на  г.</v>
      </c>
      <c r="D285" s="378"/>
      <c r="H285" s="44" t="str">
        <f>C285</f>
        <v>Стоимость  согласно сметной документации (руб.) в текущих ценах по состоянию на  г.</v>
      </c>
      <c r="J285" s="362" t="str">
        <f t="shared" si="96"/>
        <v>Пустая строка (убрать галочку)</v>
      </c>
    </row>
    <row r="286" spans="1:10" hidden="1">
      <c r="A286" s="33">
        <v>1</v>
      </c>
      <c r="B286" s="32" t="s">
        <v>46</v>
      </c>
      <c r="C286" s="379">
        <f>VLOOKUP($F$17,таблица,10,0)</f>
        <v>0</v>
      </c>
      <c r="D286" s="380"/>
      <c r="J286" s="362" t="str">
        <f t="shared" si="96"/>
        <v>Пустая строка (убрать галочку)</v>
      </c>
    </row>
    <row r="287" spans="1:10" hidden="1">
      <c r="A287" s="33">
        <v>2</v>
      </c>
      <c r="B287" s="32" t="s">
        <v>41</v>
      </c>
      <c r="C287" s="379">
        <f>VLOOKUP($F$17,таблица,11,0)</f>
        <v>0</v>
      </c>
      <c r="D287" s="380"/>
      <c r="J287" s="362" t="str">
        <f t="shared" si="96"/>
        <v>Пустая строка (убрать галочку)</v>
      </c>
    </row>
    <row r="288" spans="1:10" ht="31.5" hidden="1">
      <c r="A288" s="33">
        <v>3</v>
      </c>
      <c r="B288" s="32" t="s">
        <v>3</v>
      </c>
      <c r="C288" s="379">
        <f>VLOOKUP($F$17,таблица,12,0)</f>
        <v>0</v>
      </c>
      <c r="D288" s="380"/>
      <c r="J288" s="362" t="str">
        <f t="shared" si="96"/>
        <v>Пустая строка (убрать галочку)</v>
      </c>
    </row>
    <row r="289" spans="1:10" hidden="1">
      <c r="A289" s="33">
        <v>4</v>
      </c>
      <c r="B289" s="32" t="s">
        <v>42</v>
      </c>
      <c r="C289" s="379">
        <f>VLOOKUP($F$17,таблица,13,0)</f>
        <v>0</v>
      </c>
      <c r="D289" s="380"/>
      <c r="J289" s="362" t="str">
        <f t="shared" si="96"/>
        <v>Пустая строка (убрать галочку)</v>
      </c>
    </row>
    <row r="290" spans="1:10" hidden="1">
      <c r="A290" s="33">
        <v>5</v>
      </c>
      <c r="B290" s="32" t="s">
        <v>5</v>
      </c>
      <c r="C290" s="379">
        <f>VLOOKUP($F$17,таблица,14,0)</f>
        <v>0</v>
      </c>
      <c r="D290" s="380"/>
      <c r="J290" s="362" t="str">
        <f t="shared" si="96"/>
        <v>Пустая строка (убрать галочку)</v>
      </c>
    </row>
    <row r="291" spans="1:10" hidden="1">
      <c r="A291" s="33">
        <v>6</v>
      </c>
      <c r="B291" s="32" t="s">
        <v>12</v>
      </c>
      <c r="C291" s="379">
        <f>VLOOKUP($F$17,таблица,18,0)</f>
        <v>0</v>
      </c>
      <c r="D291" s="380"/>
      <c r="J291" s="362" t="str">
        <f t="shared" si="96"/>
        <v>Пустая строка (убрать галочку)</v>
      </c>
    </row>
    <row r="292" spans="1:10" hidden="1">
      <c r="A292" s="33">
        <v>7</v>
      </c>
      <c r="B292" s="32" t="s">
        <v>88</v>
      </c>
      <c r="C292" s="379">
        <f>VLOOKUP($F$17,таблица,19,0)+VLOOKUP($F$17,таблица,21,0)+VLOOKUP($F$17,таблица,22,0)+VLOOKUP($F$17,таблица,23,0)+VLOOKUP($F$17,таблица,24,0)+VLOOKUP($F$17,таблица,25,0)+VLOOKUP($F$17,таблица,26,0)</f>
        <v>0</v>
      </c>
      <c r="D292" s="380"/>
      <c r="J292" s="362" t="str">
        <f t="shared" si="96"/>
        <v>Пустая строка (убрать галочку)</v>
      </c>
    </row>
    <row r="293" spans="1:10" hidden="1">
      <c r="A293" s="33">
        <v>8</v>
      </c>
      <c r="B293" s="32" t="s">
        <v>62</v>
      </c>
      <c r="C293" s="379">
        <f>VLOOKUP($F$17,таблица,31,0)</f>
        <v>0</v>
      </c>
      <c r="D293" s="380"/>
      <c r="J293" s="362" t="str">
        <f t="shared" si="96"/>
        <v>Пустая строка (убрать галочку)</v>
      </c>
    </row>
    <row r="294" spans="1:10" hidden="1">
      <c r="A294" s="33">
        <v>9</v>
      </c>
      <c r="B294" s="32" t="s">
        <v>127</v>
      </c>
      <c r="C294" s="379">
        <f>SUM(C286:D293)</f>
        <v>0</v>
      </c>
      <c r="D294" s="380"/>
      <c r="J294" s="362" t="str">
        <f t="shared" si="96"/>
        <v>Пустая строка (убрать галочку)</v>
      </c>
    </row>
    <row r="295" spans="1:10" hidden="1">
      <c r="A295" s="384" t="s">
        <v>122</v>
      </c>
      <c r="B295" s="384"/>
      <c r="C295" s="384"/>
      <c r="D295" s="384"/>
      <c r="J295" s="362" t="str">
        <f t="shared" si="96"/>
        <v>Пустая строка (убрать галочку)</v>
      </c>
    </row>
    <row r="296" spans="1:10" ht="31.5" hidden="1">
      <c r="A296" s="35" t="s">
        <v>67</v>
      </c>
      <c r="B296" s="63" t="s">
        <v>21</v>
      </c>
      <c r="C296" s="63" t="s">
        <v>114</v>
      </c>
      <c r="D296" s="63" t="s">
        <v>99</v>
      </c>
      <c r="J296" s="362" t="str">
        <f t="shared" si="96"/>
        <v>Пустая строка (убрать галочку)</v>
      </c>
    </row>
    <row r="297" spans="1:10" hidden="1">
      <c r="A297" s="33">
        <v>10</v>
      </c>
      <c r="B297" s="33" t="e">
        <f>VLOOKUP((VLOOKUP($F$17,таблица,8,0)),рем_содер,2,0)</f>
        <v>#N/A</v>
      </c>
      <c r="C297" s="33"/>
      <c r="D297" s="32"/>
      <c r="J297" s="362" t="str">
        <f t="shared" si="96"/>
        <v>Пустая строка (убрать галочку)</v>
      </c>
    </row>
    <row r="298" spans="1:10" hidden="1">
      <c r="A298" s="33">
        <f>IF(D298=0,0,A297+1)</f>
        <v>0</v>
      </c>
      <c r="B298" s="32" t="e">
        <f>CONCATENATE('Анализ стоимости'!$AW$1," г (",CHOOSE(VLOOKUP(F$17,таблица,43,0),"Январь","Февраль","Март","Апрель","Май","Июнь","Июль","Август","Сентябрь","Октябрь","Ноябрь","Декабрь")," - ",CHOOSE(VLOOKUP(F$17,таблица,44,0),"Январь","Февраль","Март","Апрель","Май","Июнь","Июль","Август","Сентябрь","Октябрь","Ноябрь","Декабрь"),")")</f>
        <v>#VALUE!</v>
      </c>
      <c r="C298" s="33" t="s">
        <v>115</v>
      </c>
      <c r="D298" s="55">
        <f>IF(D300=0,0,VLOOKUP($F$17,таблица,49,0)*100+100)</f>
        <v>0</v>
      </c>
      <c r="J298" s="362" t="str">
        <f>IF(D298=0,"Пустая строка (убрать галочку)",1)</f>
        <v>Пустая строка (убрать галочку)</v>
      </c>
    </row>
    <row r="299" spans="1:10" hidden="1">
      <c r="A299" s="33">
        <f>IF(D299=0,0,IF(D298=0,A297+1,A298+1))</f>
        <v>0</v>
      </c>
      <c r="B299" s="32" t="e">
        <f>CONCATENATE('Анализ стоимости'!$AX$1," г (",CHOOSE(VLOOKUP(F$17,таблица,45,0),"Январь","Февраль","Март","Апрель","Май","Июнь","Июль","Август","Сентябрь","Октябрь","Ноябрь","Декабрь")," - ",CHOOSE(VLOOKUP(F$17,таблица,46,0),"Январь","Февраль","Март","Апрель","Май","Июнь","Июль","Август","Сентябрь","Октябрь","Ноябрь","Декабрь"),")")</f>
        <v>#VALUE!</v>
      </c>
      <c r="C299" s="33" t="s">
        <v>115</v>
      </c>
      <c r="D299" s="55">
        <f>IF(D301=0,0,VLOOKUP($F$17,таблица,50,0)*100+100)</f>
        <v>0</v>
      </c>
      <c r="J299" s="362" t="str">
        <f>IF(D299=0,"Пустая строка (убрать галочку)",1)</f>
        <v>Пустая строка (убрать галочку)</v>
      </c>
    </row>
    <row r="300" spans="1:10" hidden="1">
      <c r="A300" s="33">
        <f>IF(D300=0,0,IF(D299=0,A298+1,A299+1))</f>
        <v>0</v>
      </c>
      <c r="B300" s="32" t="str">
        <f>"Рост стоимости "&amp;'Анализ стоимости'!$AW$1&amp;" г."</f>
        <v>Рост стоимости 2018 г.</v>
      </c>
      <c r="C300" s="33" t="s">
        <v>116</v>
      </c>
      <c r="D300" s="34">
        <f>VLOOKUP($F$17,таблица,38,0)</f>
        <v>0</v>
      </c>
      <c r="J300" s="362" t="str">
        <f>IF(D300=0,"Пустая строка (убрать галочку)",1)</f>
        <v>Пустая строка (убрать галочку)</v>
      </c>
    </row>
    <row r="301" spans="1:10" hidden="1">
      <c r="A301" s="33">
        <f>IF(D301=0,0,IF(D300=0,A299+1,A300+1))</f>
        <v>0</v>
      </c>
      <c r="B301" s="32" t="str">
        <f>"Рост стоимости "&amp;'Анализ стоимости'!$AX$1&amp;" г."</f>
        <v>Рост стоимости 2019 г.</v>
      </c>
      <c r="C301" s="33" t="s">
        <v>116</v>
      </c>
      <c r="D301" s="34">
        <f>VLOOKUP($F$17,таблица,40,0)</f>
        <v>0</v>
      </c>
      <c r="J301" s="362" t="str">
        <f>IF(D301=0,"Пустая строка (убрать галочку)",1)</f>
        <v>Пустая строка (убрать галочку)</v>
      </c>
    </row>
    <row r="302" spans="1:10" hidden="1">
      <c r="A302" s="384" t="s">
        <v>117</v>
      </c>
      <c r="B302" s="384"/>
      <c r="C302" s="384"/>
      <c r="D302" s="384"/>
      <c r="J302" s="362" t="str">
        <f>IF($F$17=0,"Пустая строка (убрать галочку)",1)</f>
        <v>Пустая строка (убрать галочку)</v>
      </c>
    </row>
    <row r="303" spans="1:10" ht="31.5" hidden="1">
      <c r="A303" s="33">
        <f>IF(D303=0,0,IF(D301=0,IF(D300=0,A297+1,A300+1),A301+1))</f>
        <v>0</v>
      </c>
      <c r="B30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303" s="33" t="s">
        <v>116</v>
      </c>
      <c r="D303" s="34">
        <f>SUM(VLOOKUP($F$17,таблица,37,0),D300)</f>
        <v>0</v>
      </c>
      <c r="E303" s="7"/>
      <c r="J303" s="362" t="str">
        <f t="shared" ref="J303:J309" si="97">IF(D303=0,"Пустая строка (убрать галочку)",1)</f>
        <v>Пустая строка (убрать галочку)</v>
      </c>
    </row>
    <row r="304" spans="1:10" hidden="1">
      <c r="A304" s="33">
        <f>IF(D304=0,0,A303+1)</f>
        <v>0</v>
      </c>
      <c r="B304" s="45" t="s">
        <v>119</v>
      </c>
      <c r="C304" s="33" t="s">
        <v>116</v>
      </c>
      <c r="D304" s="34">
        <f>VLOOKUP($F$17,таблица,39,0)</f>
        <v>0</v>
      </c>
      <c r="E304" s="7"/>
      <c r="J304" s="362" t="str">
        <f t="shared" si="97"/>
        <v>Пустая строка (убрать галочку)</v>
      </c>
    </row>
    <row r="305" spans="1:10" hidden="1">
      <c r="A305" s="33">
        <f>IF(D305=0,0,A304+1)</f>
        <v>0</v>
      </c>
      <c r="B305" s="45" t="str">
        <f>"Всего с НДС на "&amp;'Анализ стоимости'!$AW$1&amp;" г."</f>
        <v>Всего с НДС на 2018 г.</v>
      </c>
      <c r="C305" s="33" t="s">
        <v>116</v>
      </c>
      <c r="D305" s="46">
        <f>SUM(D303:D304)</f>
        <v>0</v>
      </c>
      <c r="E305" s="56">
        <f>VLOOKUP($F$17,таблица,51,0)</f>
        <v>0</v>
      </c>
      <c r="J305" s="362" t="str">
        <f t="shared" si="97"/>
        <v>Пустая строка (убрать галочку)</v>
      </c>
    </row>
    <row r="306" spans="1:10" ht="31.5" hidden="1">
      <c r="A306" s="33">
        <f>IF(D306=0,0,IF(D305=0,IF(D301=0,A297+1,A301+1),A305+1))</f>
        <v>0</v>
      </c>
      <c r="B30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306" s="33" t="s">
        <v>116</v>
      </c>
      <c r="D306" s="34">
        <f>VLOOKUP($F$17,таблица,36,0)-VLOOKUP($F$17,таблица,37,0)+D301</f>
        <v>0</v>
      </c>
      <c r="J306" s="362" t="str">
        <f t="shared" si="97"/>
        <v>Пустая строка (убрать галочку)</v>
      </c>
    </row>
    <row r="307" spans="1:10" hidden="1">
      <c r="A307" s="33">
        <f>IF(D307=0,0,A306+1)</f>
        <v>0</v>
      </c>
      <c r="B307" s="45" t="s">
        <v>119</v>
      </c>
      <c r="C307" s="33" t="s">
        <v>116</v>
      </c>
      <c r="D307" s="34">
        <f>VLOOKUP($F$17,таблица,41,0)</f>
        <v>0</v>
      </c>
      <c r="J307" s="362" t="str">
        <f t="shared" si="97"/>
        <v>Пустая строка (убрать галочку)</v>
      </c>
    </row>
    <row r="308" spans="1:10" hidden="1">
      <c r="A308" s="33">
        <f>IF(D308=0,0,A307+1)</f>
        <v>0</v>
      </c>
      <c r="B308" s="45" t="str">
        <f>"Всего с НДС на "&amp;'Анализ стоимости'!$AX$1&amp;" г."</f>
        <v>Всего с НДС на 2019 г.</v>
      </c>
      <c r="C308" s="33" t="s">
        <v>116</v>
      </c>
      <c r="D308" s="46">
        <f>SUM(D306:D307)</f>
        <v>0</v>
      </c>
      <c r="E308" s="56">
        <f>VLOOKUP($F$17,таблица,52,0)</f>
        <v>0</v>
      </c>
      <c r="J308" s="362" t="str">
        <f t="shared" si="97"/>
        <v>Пустая строка (убрать галочку)</v>
      </c>
    </row>
    <row r="309" spans="1:10" hidden="1">
      <c r="A309" s="33">
        <f>IF(D309=0,0,A308+1)</f>
        <v>0</v>
      </c>
      <c r="B309" s="45" t="s">
        <v>118</v>
      </c>
      <c r="C309" s="33" t="s">
        <v>116</v>
      </c>
      <c r="D309" s="46">
        <f>IF(OR(D305=0,D308=0),0,D308+D305)</f>
        <v>0</v>
      </c>
      <c r="E309" s="56">
        <f>VLOOKUP($F$17,таблица,42,0)</f>
        <v>0</v>
      </c>
      <c r="J309" s="362" t="str">
        <f t="shared" si="97"/>
        <v>Пустая строка (убрать галочку)</v>
      </c>
    </row>
    <row r="310" spans="1:10" hidden="1">
      <c r="A310" s="13"/>
      <c r="B310" s="13"/>
      <c r="C310" s="13"/>
      <c r="D310" s="14"/>
      <c r="J310" s="362" t="str">
        <f>IF($F$17=0,"Пустая строка (убрать галочку)",1)</f>
        <v>Пустая строка (убрать галочку)</v>
      </c>
    </row>
    <row r="311" spans="1:10" ht="47.25" hidden="1" customHeight="1">
      <c r="A31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311" s="382"/>
      <c r="C311" s="61"/>
      <c r="D311" s="48" t="str">
        <f>'Анализ стоимости'!$I$101</f>
        <v>Шестопал О.Н.</v>
      </c>
      <c r="G311" s="43" t="str">
        <f>A311</f>
        <v>Специалист администрации Старонижестеблиевского сельского поселения Красноармейского района</v>
      </c>
      <c r="J311" s="362" t="str">
        <f>IF($F$17=0,"Пустая строка (убрать галочку)",1)</f>
        <v>Пустая строка (убрать галочку)</v>
      </c>
    </row>
    <row r="312" spans="1:10" hidden="1">
      <c r="A312" s="49"/>
      <c r="B312" s="49"/>
      <c r="C312" s="49"/>
      <c r="D312" s="50"/>
      <c r="J312" s="362" t="str">
        <f>IF($F$17=0,"Пустая строка (убрать галочку)",1)</f>
        <v>Пустая строка (убрать галочку)</v>
      </c>
    </row>
    <row r="313" spans="1:10" hidden="1">
      <c r="A313" s="375"/>
      <c r="B313" s="375"/>
      <c r="C313" s="3"/>
      <c r="D313" s="3"/>
      <c r="J313" s="362" t="str">
        <f>IF($F$17=0,"Пустая строка (убрать галочку)",1)</f>
        <v>Пустая строка (убрать галочку)</v>
      </c>
    </row>
    <row r="314" spans="1:10" hidden="1">
      <c r="A314" s="385" t="s">
        <v>136</v>
      </c>
      <c r="B314" s="385"/>
      <c r="C314" s="385"/>
      <c r="D314" s="385"/>
      <c r="G314" s="37"/>
      <c r="H314" s="37"/>
      <c r="J314" s="362" t="str">
        <f t="shared" ref="J314:J331" si="98">IF($F$18=0,"Пустая строка (убрать галочку)",1)</f>
        <v>Пустая строка (убрать галочку)</v>
      </c>
    </row>
    <row r="315" spans="1:10" ht="47.25" hidden="1" customHeight="1">
      <c r="A315" s="376" t="str">
        <f>CONCATENATE("Наименование объекта: ",VLOOKUP($F$18,таблица,9,0))</f>
        <v xml:space="preserve">Наименование объекта: </v>
      </c>
      <c r="B315" s="376"/>
      <c r="C315" s="376"/>
      <c r="D315" s="376"/>
      <c r="I315" s="58" t="str">
        <f>A315</f>
        <v xml:space="preserve">Наименование объекта: </v>
      </c>
      <c r="J315" s="362" t="str">
        <f t="shared" si="98"/>
        <v>Пустая строка (убрать галочку)</v>
      </c>
    </row>
    <row r="316" spans="1:10" hidden="1">
      <c r="A316" s="30"/>
      <c r="B316" s="25"/>
      <c r="C316" s="25"/>
      <c r="D316" s="25"/>
      <c r="J316" s="362" t="str">
        <f t="shared" si="98"/>
        <v>Пустая строка (убрать галочку)</v>
      </c>
    </row>
    <row r="317" spans="1:10" hidden="1">
      <c r="A317" s="29" t="s">
        <v>111</v>
      </c>
      <c r="B317" s="22"/>
      <c r="C317" s="22"/>
      <c r="D317" s="22"/>
      <c r="J317" s="362" t="str">
        <f t="shared" si="98"/>
        <v>Пустая строка (убрать галочку)</v>
      </c>
    </row>
    <row r="318" spans="1:10" hidden="1">
      <c r="A318" s="383" t="s">
        <v>112</v>
      </c>
      <c r="B318" s="383"/>
      <c r="C318" s="383"/>
      <c r="D318" s="383"/>
      <c r="J318" s="362" t="str">
        <f t="shared" si="98"/>
        <v>Пустая строка (убрать галочку)</v>
      </c>
    </row>
    <row r="319" spans="1:10" ht="47.25" hidden="1">
      <c r="A319" s="63" t="s">
        <v>67</v>
      </c>
      <c r="B319" s="63" t="s">
        <v>98</v>
      </c>
      <c r="C319" s="377" t="str">
        <f>CONCATENATE("Стоимость  согласно сметной документации (руб.) в текущих ценах по состоянию на ",VLOOKUP($F$18,таблица,5,0)," г.")</f>
        <v>Стоимость  согласно сметной документации (руб.) в текущих ценах по состоянию на  г.</v>
      </c>
      <c r="D319" s="378"/>
      <c r="H319" s="44" t="str">
        <f>C319</f>
        <v>Стоимость  согласно сметной документации (руб.) в текущих ценах по состоянию на  г.</v>
      </c>
      <c r="J319" s="362" t="str">
        <f t="shared" si="98"/>
        <v>Пустая строка (убрать галочку)</v>
      </c>
    </row>
    <row r="320" spans="1:10" hidden="1">
      <c r="A320" s="33">
        <v>1</v>
      </c>
      <c r="B320" s="32" t="s">
        <v>46</v>
      </c>
      <c r="C320" s="379">
        <f>VLOOKUP($F$18,таблица,10,0)</f>
        <v>0</v>
      </c>
      <c r="D320" s="380"/>
      <c r="J320" s="362" t="str">
        <f t="shared" si="98"/>
        <v>Пустая строка (убрать галочку)</v>
      </c>
    </row>
    <row r="321" spans="1:10" hidden="1">
      <c r="A321" s="33">
        <v>2</v>
      </c>
      <c r="B321" s="32" t="s">
        <v>41</v>
      </c>
      <c r="C321" s="379">
        <f>VLOOKUP($F$18,таблица,11,0)</f>
        <v>0</v>
      </c>
      <c r="D321" s="380"/>
      <c r="J321" s="362" t="str">
        <f t="shared" si="98"/>
        <v>Пустая строка (убрать галочку)</v>
      </c>
    </row>
    <row r="322" spans="1:10" ht="31.5" hidden="1">
      <c r="A322" s="33">
        <v>3</v>
      </c>
      <c r="B322" s="32" t="s">
        <v>3</v>
      </c>
      <c r="C322" s="379">
        <f>VLOOKUP($F$18,таблица,12,0)</f>
        <v>0</v>
      </c>
      <c r="D322" s="380"/>
      <c r="J322" s="362" t="str">
        <f t="shared" si="98"/>
        <v>Пустая строка (убрать галочку)</v>
      </c>
    </row>
    <row r="323" spans="1:10" hidden="1">
      <c r="A323" s="33">
        <v>4</v>
      </c>
      <c r="B323" s="32" t="s">
        <v>42</v>
      </c>
      <c r="C323" s="379">
        <f>VLOOKUP($F$18,таблица,13,0)</f>
        <v>0</v>
      </c>
      <c r="D323" s="380"/>
      <c r="J323" s="362" t="str">
        <f t="shared" si="98"/>
        <v>Пустая строка (убрать галочку)</v>
      </c>
    </row>
    <row r="324" spans="1:10" hidden="1">
      <c r="A324" s="33">
        <v>5</v>
      </c>
      <c r="B324" s="32" t="s">
        <v>5</v>
      </c>
      <c r="C324" s="379">
        <f>VLOOKUP($F$18,таблица,14,0)</f>
        <v>0</v>
      </c>
      <c r="D324" s="380"/>
      <c r="J324" s="362" t="str">
        <f t="shared" si="98"/>
        <v>Пустая строка (убрать галочку)</v>
      </c>
    </row>
    <row r="325" spans="1:10" hidden="1">
      <c r="A325" s="33">
        <v>6</v>
      </c>
      <c r="B325" s="32" t="s">
        <v>12</v>
      </c>
      <c r="C325" s="379">
        <f>VLOOKUP($F$18,таблица,18,0)</f>
        <v>0</v>
      </c>
      <c r="D325" s="380"/>
      <c r="J325" s="362" t="str">
        <f t="shared" si="98"/>
        <v>Пустая строка (убрать галочку)</v>
      </c>
    </row>
    <row r="326" spans="1:10" hidden="1">
      <c r="A326" s="33">
        <v>7</v>
      </c>
      <c r="B326" s="32" t="s">
        <v>88</v>
      </c>
      <c r="C326" s="379">
        <f>VLOOKUP($F$18,таблица,19,0)+VLOOKUP($F$18,таблица,21,0)+VLOOKUP($F$18,таблица,22,0)+VLOOKUP($F$18,таблица,23,0)+VLOOKUP($F$18,таблица,24,0)+VLOOKUP($F$18,таблица,25,0)+VLOOKUP($F$18,таблица,26,0)</f>
        <v>0</v>
      </c>
      <c r="D326" s="380"/>
      <c r="J326" s="362" t="str">
        <f t="shared" si="98"/>
        <v>Пустая строка (убрать галочку)</v>
      </c>
    </row>
    <row r="327" spans="1:10" hidden="1">
      <c r="A327" s="33">
        <v>8</v>
      </c>
      <c r="B327" s="32" t="s">
        <v>62</v>
      </c>
      <c r="C327" s="379">
        <f>VLOOKUP($F$18,таблица,31,0)</f>
        <v>0</v>
      </c>
      <c r="D327" s="380"/>
      <c r="J327" s="362" t="str">
        <f t="shared" si="98"/>
        <v>Пустая строка (убрать галочку)</v>
      </c>
    </row>
    <row r="328" spans="1:10" hidden="1">
      <c r="A328" s="33">
        <v>9</v>
      </c>
      <c r="B328" s="32" t="s">
        <v>127</v>
      </c>
      <c r="C328" s="379">
        <f>SUM(C320:D327)</f>
        <v>0</v>
      </c>
      <c r="D328" s="380"/>
      <c r="J328" s="362" t="str">
        <f t="shared" si="98"/>
        <v>Пустая строка (убрать галочку)</v>
      </c>
    </row>
    <row r="329" spans="1:10" hidden="1">
      <c r="A329" s="384" t="s">
        <v>122</v>
      </c>
      <c r="B329" s="384"/>
      <c r="C329" s="384"/>
      <c r="D329" s="384"/>
      <c r="J329" s="362" t="str">
        <f t="shared" si="98"/>
        <v>Пустая строка (убрать галочку)</v>
      </c>
    </row>
    <row r="330" spans="1:10" ht="31.5" hidden="1">
      <c r="A330" s="35" t="s">
        <v>67</v>
      </c>
      <c r="B330" s="63" t="s">
        <v>21</v>
      </c>
      <c r="C330" s="63" t="s">
        <v>114</v>
      </c>
      <c r="D330" s="63" t="s">
        <v>99</v>
      </c>
      <c r="J330" s="362" t="str">
        <f t="shared" si="98"/>
        <v>Пустая строка (убрать галочку)</v>
      </c>
    </row>
    <row r="331" spans="1:10" hidden="1">
      <c r="A331" s="33">
        <v>10</v>
      </c>
      <c r="B331" s="33" t="e">
        <f>VLOOKUP((VLOOKUP($F$18,таблица,8,0)),рем_содер,2,0)</f>
        <v>#N/A</v>
      </c>
      <c r="C331" s="33"/>
      <c r="D331" s="32"/>
      <c r="J331" s="362" t="str">
        <f t="shared" si="98"/>
        <v>Пустая строка (убрать галочку)</v>
      </c>
    </row>
    <row r="332" spans="1:10" hidden="1">
      <c r="A332" s="33">
        <f>IF(D332=0,0,A331+1)</f>
        <v>0</v>
      </c>
      <c r="B332" s="32" t="e">
        <f>CONCATENATE('Анализ стоимости'!$AW$1," г (",CHOOSE(VLOOKUP(F$18,таблица,43,0),"Январь","Февраль","Март","Апрель","Май","Июнь","Июль","Август","Сентябрь","Октябрь","Ноябрь","Декабрь")," - ",CHOOSE(VLOOKUP(F$18,таблица,44,0),"Январь","Февраль","Март","Апрель","Май","Июнь","Июль","Август","Сентябрь","Октябрь","Ноябрь","Декабрь"),")")</f>
        <v>#VALUE!</v>
      </c>
      <c r="C332" s="33" t="s">
        <v>115</v>
      </c>
      <c r="D332" s="55">
        <f>IF(D334=0,0,VLOOKUP($F$18,таблица,49,0)*100+100)</f>
        <v>0</v>
      </c>
      <c r="J332" s="362" t="str">
        <f>IF(D332=0,"Пустая строка (убрать галочку)",1)</f>
        <v>Пустая строка (убрать галочку)</v>
      </c>
    </row>
    <row r="333" spans="1:10" hidden="1">
      <c r="A333" s="33">
        <f>IF(D333=0,0,IF(D332=0,A331+1,A332+1))</f>
        <v>0</v>
      </c>
      <c r="B333" s="32" t="e">
        <f>CONCATENATE('Анализ стоимости'!$AX$1," г (",CHOOSE(VLOOKUP(F$18,таблица,45,0),"Январь","Февраль","Март","Апрель","Май","Июнь","Июль","Август","Сентябрь","Октябрь","Ноябрь","Декабрь")," - ",CHOOSE(VLOOKUP(F$18,таблица,46,0),"Январь","Февраль","Март","Апрель","Май","Июнь","Июль","Август","Сентябрь","Октябрь","Ноябрь","Декабрь"),")")</f>
        <v>#VALUE!</v>
      </c>
      <c r="C333" s="33" t="s">
        <v>115</v>
      </c>
      <c r="D333" s="55">
        <f>IF(D335=0,0,VLOOKUP($F$18,таблица,50,0)*100+100)</f>
        <v>0</v>
      </c>
      <c r="J333" s="362" t="str">
        <f>IF(D333=0,"Пустая строка (убрать галочку)",1)</f>
        <v>Пустая строка (убрать галочку)</v>
      </c>
    </row>
    <row r="334" spans="1:10" hidden="1">
      <c r="A334" s="33">
        <f>IF(D334=0,0,IF(D333=0,A332+1,A333+1))</f>
        <v>0</v>
      </c>
      <c r="B334" s="32" t="str">
        <f>"Рост стоимости "&amp;'Анализ стоимости'!$AW$1&amp;" г."</f>
        <v>Рост стоимости 2018 г.</v>
      </c>
      <c r="C334" s="33" t="s">
        <v>116</v>
      </c>
      <c r="D334" s="34">
        <f>VLOOKUP($F$18,таблица,38,0)</f>
        <v>0</v>
      </c>
      <c r="J334" s="362" t="str">
        <f>IF(D334=0,"Пустая строка (убрать галочку)",1)</f>
        <v>Пустая строка (убрать галочку)</v>
      </c>
    </row>
    <row r="335" spans="1:10" hidden="1">
      <c r="A335" s="33">
        <f>IF(D335=0,0,IF(D334=0,A333+1,A334+1))</f>
        <v>0</v>
      </c>
      <c r="B335" s="32" t="str">
        <f>"Рост стоимости "&amp;'Анализ стоимости'!$AX$1&amp;" г."</f>
        <v>Рост стоимости 2019 г.</v>
      </c>
      <c r="C335" s="33" t="s">
        <v>116</v>
      </c>
      <c r="D335" s="34">
        <f>VLOOKUP($F$18,таблица,40,0)</f>
        <v>0</v>
      </c>
      <c r="J335" s="362" t="str">
        <f>IF(D335=0,"Пустая строка (убрать галочку)",1)</f>
        <v>Пустая строка (убрать галочку)</v>
      </c>
    </row>
    <row r="336" spans="1:10" hidden="1">
      <c r="A336" s="384" t="s">
        <v>117</v>
      </c>
      <c r="B336" s="384"/>
      <c r="C336" s="384"/>
      <c r="D336" s="384"/>
      <c r="J336" s="362" t="str">
        <f>IF($F$18=0,"Пустая строка (убрать галочку)",1)</f>
        <v>Пустая строка (убрать галочку)</v>
      </c>
    </row>
    <row r="337" spans="1:10" ht="31.5" hidden="1">
      <c r="A337" s="33">
        <f>IF(D337=0,0,IF(D335=0,IF(D334=0,A331+1,A334+1),A335+1))</f>
        <v>0</v>
      </c>
      <c r="B33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337" s="33" t="s">
        <v>116</v>
      </c>
      <c r="D337" s="34">
        <f>SUM(VLOOKUP($F$18,таблица,37,0),D334)</f>
        <v>0</v>
      </c>
      <c r="E337" s="7"/>
      <c r="J337" s="362" t="str">
        <f t="shared" ref="J337:J343" si="99">IF(D337=0,"Пустая строка (убрать галочку)",1)</f>
        <v>Пустая строка (убрать галочку)</v>
      </c>
    </row>
    <row r="338" spans="1:10" hidden="1">
      <c r="A338" s="33">
        <f>IF(D338=0,0,A337+1)</f>
        <v>0</v>
      </c>
      <c r="B338" s="45" t="s">
        <v>119</v>
      </c>
      <c r="C338" s="33" t="s">
        <v>116</v>
      </c>
      <c r="D338" s="34">
        <f>VLOOKUP($F$18,таблица,39,0)</f>
        <v>0</v>
      </c>
      <c r="E338" s="7"/>
      <c r="J338" s="362" t="str">
        <f t="shared" si="99"/>
        <v>Пустая строка (убрать галочку)</v>
      </c>
    </row>
    <row r="339" spans="1:10" hidden="1">
      <c r="A339" s="33">
        <f>IF(D339=0,0,A338+1)</f>
        <v>0</v>
      </c>
      <c r="B339" s="45" t="str">
        <f>"Всего с НДС на "&amp;'Анализ стоимости'!$AW$1&amp;" г."</f>
        <v>Всего с НДС на 2018 г.</v>
      </c>
      <c r="C339" s="33" t="s">
        <v>116</v>
      </c>
      <c r="D339" s="46">
        <f>SUM(D337:D338)</f>
        <v>0</v>
      </c>
      <c r="E339" s="56">
        <f>VLOOKUP($F$18,таблица,51,0)</f>
        <v>0</v>
      </c>
      <c r="J339" s="362" t="str">
        <f t="shared" si="99"/>
        <v>Пустая строка (убрать галочку)</v>
      </c>
    </row>
    <row r="340" spans="1:10" ht="31.5" hidden="1">
      <c r="A340" s="33">
        <f>IF(D340=0,0,IF(D339=0,IF(D335=0,A331+1,A335+1),A339+1))</f>
        <v>0</v>
      </c>
      <c r="B34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340" s="33" t="s">
        <v>116</v>
      </c>
      <c r="D340" s="34">
        <f>VLOOKUP($F$18,таблица,36,0)-VLOOKUP($F$18,таблица,37,0)+D335</f>
        <v>0</v>
      </c>
      <c r="J340" s="362" t="str">
        <f t="shared" si="99"/>
        <v>Пустая строка (убрать галочку)</v>
      </c>
    </row>
    <row r="341" spans="1:10" hidden="1">
      <c r="A341" s="33">
        <f>IF(D341=0,0,A340+1)</f>
        <v>0</v>
      </c>
      <c r="B341" s="45" t="s">
        <v>119</v>
      </c>
      <c r="C341" s="33" t="s">
        <v>116</v>
      </c>
      <c r="D341" s="34">
        <f>VLOOKUP($F$18,таблица,41,0)</f>
        <v>0</v>
      </c>
      <c r="J341" s="362" t="str">
        <f t="shared" si="99"/>
        <v>Пустая строка (убрать галочку)</v>
      </c>
    </row>
    <row r="342" spans="1:10" hidden="1">
      <c r="A342" s="33">
        <f>IF(D342=0,0,A341+1)</f>
        <v>0</v>
      </c>
      <c r="B342" s="45" t="str">
        <f>"Всего с НДС на "&amp;'Анализ стоимости'!$AX$1&amp;" г."</f>
        <v>Всего с НДС на 2019 г.</v>
      </c>
      <c r="C342" s="33" t="s">
        <v>116</v>
      </c>
      <c r="D342" s="46">
        <f>SUM(D340:D341)</f>
        <v>0</v>
      </c>
      <c r="E342" s="56">
        <f>VLOOKUP($F$18,таблица,52,0)</f>
        <v>0</v>
      </c>
      <c r="J342" s="362" t="str">
        <f t="shared" si="99"/>
        <v>Пустая строка (убрать галочку)</v>
      </c>
    </row>
    <row r="343" spans="1:10" hidden="1">
      <c r="A343" s="33">
        <f>IF(D343=0,0,A342+1)</f>
        <v>0</v>
      </c>
      <c r="B343" s="45" t="s">
        <v>118</v>
      </c>
      <c r="C343" s="33" t="s">
        <v>116</v>
      </c>
      <c r="D343" s="46">
        <f>IF(OR(D339=0,D342=0),0,D342+D339)</f>
        <v>0</v>
      </c>
      <c r="E343" s="56">
        <f>VLOOKUP($F$18,таблица,42,0)</f>
        <v>0</v>
      </c>
      <c r="J343" s="362" t="str">
        <f t="shared" si="99"/>
        <v>Пустая строка (убрать галочку)</v>
      </c>
    </row>
    <row r="344" spans="1:10" hidden="1">
      <c r="A344" s="13"/>
      <c r="B344" s="13"/>
      <c r="C344" s="13"/>
      <c r="D344" s="14"/>
      <c r="J344" s="362" t="str">
        <f>IF($F$18=0,"Пустая строка (убрать галочку)",1)</f>
        <v>Пустая строка (убрать галочку)</v>
      </c>
    </row>
    <row r="345" spans="1:10" ht="47.25" hidden="1" customHeight="1">
      <c r="A34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345" s="382"/>
      <c r="C345" s="61"/>
      <c r="D345" s="48" t="str">
        <f>'Анализ стоимости'!$I$101</f>
        <v>Шестопал О.Н.</v>
      </c>
      <c r="G345" s="43" t="str">
        <f>A345</f>
        <v>Специалист администрации Старонижестеблиевского сельского поселения Красноармейского района</v>
      </c>
      <c r="J345" s="362" t="str">
        <f>IF($F$18=0,"Пустая строка (убрать галочку)",1)</f>
        <v>Пустая строка (убрать галочку)</v>
      </c>
    </row>
    <row r="346" spans="1:10" hidden="1">
      <c r="A346" s="49"/>
      <c r="B346" s="49"/>
      <c r="C346" s="49"/>
      <c r="D346" s="50"/>
      <c r="J346" s="362" t="str">
        <f>IF($F$18=0,"Пустая строка (убрать галочку)",1)</f>
        <v>Пустая строка (убрать галочку)</v>
      </c>
    </row>
    <row r="347" spans="1:10" hidden="1">
      <c r="A347" s="375"/>
      <c r="B347" s="375"/>
      <c r="C347" s="3"/>
      <c r="D347" s="3"/>
      <c r="J347" s="362" t="str">
        <f>IF($F$18=0,"Пустая строка (убрать галочку)",1)</f>
        <v>Пустая строка (убрать галочку)</v>
      </c>
    </row>
    <row r="348" spans="1:10" hidden="1">
      <c r="A348" s="385" t="s">
        <v>137</v>
      </c>
      <c r="B348" s="385"/>
      <c r="C348" s="385"/>
      <c r="D348" s="385"/>
      <c r="G348" s="37"/>
      <c r="H348" s="37"/>
      <c r="J348" s="362" t="str">
        <f t="shared" ref="J348:J365" si="100">IF($F$19=0,"Пустая строка (убрать галочку)",1)</f>
        <v>Пустая строка (убрать галочку)</v>
      </c>
    </row>
    <row r="349" spans="1:10" ht="47.25" hidden="1" customHeight="1">
      <c r="A349" s="376" t="str">
        <f>CONCATENATE("Наименование объекта: ",VLOOKUP($F$19,таблица,9,0))</f>
        <v xml:space="preserve">Наименование объекта: </v>
      </c>
      <c r="B349" s="376"/>
      <c r="C349" s="376"/>
      <c r="D349" s="376"/>
      <c r="I349" s="58" t="str">
        <f>A349</f>
        <v xml:space="preserve">Наименование объекта: </v>
      </c>
      <c r="J349" s="362" t="str">
        <f t="shared" si="100"/>
        <v>Пустая строка (убрать галочку)</v>
      </c>
    </row>
    <row r="350" spans="1:10" hidden="1">
      <c r="A350" s="30"/>
      <c r="B350" s="25"/>
      <c r="C350" s="25"/>
      <c r="D350" s="25"/>
      <c r="J350" s="362" t="str">
        <f t="shared" si="100"/>
        <v>Пустая строка (убрать галочку)</v>
      </c>
    </row>
    <row r="351" spans="1:10" hidden="1">
      <c r="A351" s="29" t="s">
        <v>111</v>
      </c>
      <c r="B351" s="22"/>
      <c r="C351" s="22"/>
      <c r="D351" s="22"/>
      <c r="J351" s="362" t="str">
        <f t="shared" si="100"/>
        <v>Пустая строка (убрать галочку)</v>
      </c>
    </row>
    <row r="352" spans="1:10" hidden="1">
      <c r="A352" s="383" t="s">
        <v>112</v>
      </c>
      <c r="B352" s="383"/>
      <c r="C352" s="383"/>
      <c r="D352" s="383"/>
      <c r="J352" s="362" t="str">
        <f t="shared" si="100"/>
        <v>Пустая строка (убрать галочку)</v>
      </c>
    </row>
    <row r="353" spans="1:10" ht="47.25" hidden="1">
      <c r="A353" s="63" t="s">
        <v>67</v>
      </c>
      <c r="B353" s="63" t="s">
        <v>98</v>
      </c>
      <c r="C353" s="377" t="str">
        <f>CONCATENATE("Стоимость  согласно сметной документации (руб.) в текущих ценах по состоянию на ",VLOOKUP($F$19,таблица,5,0)," г.")</f>
        <v>Стоимость  согласно сметной документации (руб.) в текущих ценах по состоянию на  г.</v>
      </c>
      <c r="D353" s="378"/>
      <c r="H353" s="44" t="str">
        <f>C353</f>
        <v>Стоимость  согласно сметной документации (руб.) в текущих ценах по состоянию на  г.</v>
      </c>
      <c r="J353" s="362" t="str">
        <f t="shared" si="100"/>
        <v>Пустая строка (убрать галочку)</v>
      </c>
    </row>
    <row r="354" spans="1:10" hidden="1">
      <c r="A354" s="33">
        <v>1</v>
      </c>
      <c r="B354" s="32" t="s">
        <v>46</v>
      </c>
      <c r="C354" s="379">
        <f>VLOOKUP($F$19,таблица,10,0)</f>
        <v>0</v>
      </c>
      <c r="D354" s="380"/>
      <c r="J354" s="362" t="str">
        <f t="shared" si="100"/>
        <v>Пустая строка (убрать галочку)</v>
      </c>
    </row>
    <row r="355" spans="1:10" hidden="1">
      <c r="A355" s="33">
        <v>2</v>
      </c>
      <c r="B355" s="32" t="s">
        <v>41</v>
      </c>
      <c r="C355" s="379">
        <f>VLOOKUP($F$19,таблица,11,0)</f>
        <v>0</v>
      </c>
      <c r="D355" s="380"/>
      <c r="J355" s="362" t="str">
        <f t="shared" si="100"/>
        <v>Пустая строка (убрать галочку)</v>
      </c>
    </row>
    <row r="356" spans="1:10" ht="31.5" hidden="1">
      <c r="A356" s="33">
        <v>3</v>
      </c>
      <c r="B356" s="32" t="s">
        <v>3</v>
      </c>
      <c r="C356" s="379">
        <f>VLOOKUP($F$19,таблица,12,0)</f>
        <v>0</v>
      </c>
      <c r="D356" s="380"/>
      <c r="J356" s="362" t="str">
        <f t="shared" si="100"/>
        <v>Пустая строка (убрать галочку)</v>
      </c>
    </row>
    <row r="357" spans="1:10" hidden="1">
      <c r="A357" s="33">
        <v>4</v>
      </c>
      <c r="B357" s="32" t="s">
        <v>42</v>
      </c>
      <c r="C357" s="379">
        <f>VLOOKUP($F$19,таблица,13,0)</f>
        <v>0</v>
      </c>
      <c r="D357" s="380"/>
      <c r="J357" s="362" t="str">
        <f t="shared" si="100"/>
        <v>Пустая строка (убрать галочку)</v>
      </c>
    </row>
    <row r="358" spans="1:10" hidden="1">
      <c r="A358" s="33">
        <v>5</v>
      </c>
      <c r="B358" s="32" t="s">
        <v>5</v>
      </c>
      <c r="C358" s="379">
        <f>VLOOKUP($F$19,таблица,14,0)</f>
        <v>0</v>
      </c>
      <c r="D358" s="380"/>
      <c r="J358" s="362" t="str">
        <f t="shared" si="100"/>
        <v>Пустая строка (убрать галочку)</v>
      </c>
    </row>
    <row r="359" spans="1:10" hidden="1">
      <c r="A359" s="33">
        <v>6</v>
      </c>
      <c r="B359" s="32" t="s">
        <v>12</v>
      </c>
      <c r="C359" s="379">
        <f>VLOOKUP($F$19,таблица,18,0)</f>
        <v>0</v>
      </c>
      <c r="D359" s="380"/>
      <c r="J359" s="362" t="str">
        <f t="shared" si="100"/>
        <v>Пустая строка (убрать галочку)</v>
      </c>
    </row>
    <row r="360" spans="1:10" hidden="1">
      <c r="A360" s="33">
        <v>7</v>
      </c>
      <c r="B360" s="32" t="s">
        <v>88</v>
      </c>
      <c r="C360" s="379">
        <f>VLOOKUP($F$19,таблица,19,0)+VLOOKUP($F$19,таблица,21,0)+VLOOKUP($F$19,таблица,22,0)+VLOOKUP($F$19,таблица,23,0)+VLOOKUP($F$19,таблица,24,0)+VLOOKUP($F$19,таблица,25,0)+VLOOKUP($F$19,таблица,26,0)</f>
        <v>0</v>
      </c>
      <c r="D360" s="380"/>
      <c r="J360" s="362" t="str">
        <f t="shared" si="100"/>
        <v>Пустая строка (убрать галочку)</v>
      </c>
    </row>
    <row r="361" spans="1:10" hidden="1">
      <c r="A361" s="33">
        <v>8</v>
      </c>
      <c r="B361" s="32" t="s">
        <v>62</v>
      </c>
      <c r="C361" s="379">
        <f>VLOOKUP($F$19,таблица,31,0)</f>
        <v>0</v>
      </c>
      <c r="D361" s="380"/>
      <c r="J361" s="362" t="str">
        <f t="shared" si="100"/>
        <v>Пустая строка (убрать галочку)</v>
      </c>
    </row>
    <row r="362" spans="1:10" hidden="1">
      <c r="A362" s="33">
        <v>9</v>
      </c>
      <c r="B362" s="32" t="s">
        <v>127</v>
      </c>
      <c r="C362" s="379">
        <f>SUM(C354:D361)</f>
        <v>0</v>
      </c>
      <c r="D362" s="380"/>
      <c r="J362" s="362" t="str">
        <f t="shared" si="100"/>
        <v>Пустая строка (убрать галочку)</v>
      </c>
    </row>
    <row r="363" spans="1:10" hidden="1">
      <c r="A363" s="384" t="s">
        <v>122</v>
      </c>
      <c r="B363" s="384"/>
      <c r="C363" s="384"/>
      <c r="D363" s="384"/>
      <c r="J363" s="362" t="str">
        <f t="shared" si="100"/>
        <v>Пустая строка (убрать галочку)</v>
      </c>
    </row>
    <row r="364" spans="1:10" ht="31.5" hidden="1">
      <c r="A364" s="35" t="s">
        <v>67</v>
      </c>
      <c r="B364" s="63" t="s">
        <v>21</v>
      </c>
      <c r="C364" s="63" t="s">
        <v>114</v>
      </c>
      <c r="D364" s="63" t="s">
        <v>99</v>
      </c>
      <c r="J364" s="362" t="str">
        <f t="shared" si="100"/>
        <v>Пустая строка (убрать галочку)</v>
      </c>
    </row>
    <row r="365" spans="1:10" hidden="1">
      <c r="A365" s="33">
        <v>10</v>
      </c>
      <c r="B365" s="33" t="e">
        <f>VLOOKUP((VLOOKUP($F$19,таблица,8,0)),рем_содер,2,0)</f>
        <v>#N/A</v>
      </c>
      <c r="C365" s="33"/>
      <c r="D365" s="32"/>
      <c r="J365" s="362" t="str">
        <f t="shared" si="100"/>
        <v>Пустая строка (убрать галочку)</v>
      </c>
    </row>
    <row r="366" spans="1:10" hidden="1">
      <c r="A366" s="33">
        <f>IF(D366=0,0,A365+1)</f>
        <v>0</v>
      </c>
      <c r="B366" s="32" t="e">
        <f>CONCATENATE('Анализ стоимости'!$AW$1," г (",CHOOSE(VLOOKUP(F$19,таблица,43,0),"Январь","Февраль","Март","Апрель","Май","Июнь","Июль","Август","Сентябрь","Октябрь","Ноябрь","Декабрь")," - ",CHOOSE(VLOOKUP(F$19,таблица,44,0),"Январь","Февраль","Март","Апрель","Май","Июнь","Июль","Август","Сентябрь","Октябрь","Ноябрь","Декабрь"),")")</f>
        <v>#VALUE!</v>
      </c>
      <c r="C366" s="33" t="s">
        <v>115</v>
      </c>
      <c r="D366" s="55">
        <f>IF(D368=0,0,VLOOKUP($F$19,таблица,49,0)*100+100)</f>
        <v>0</v>
      </c>
      <c r="J366" s="362" t="str">
        <f>IF(D366=0,"Пустая строка (убрать галочку)",1)</f>
        <v>Пустая строка (убрать галочку)</v>
      </c>
    </row>
    <row r="367" spans="1:10" hidden="1">
      <c r="A367" s="33">
        <f>IF(D367=0,0,IF(D366=0,A365+1,A366+1))</f>
        <v>0</v>
      </c>
      <c r="B367" s="32" t="e">
        <f>CONCATENATE('Анализ стоимости'!$AX$1," г (",CHOOSE(VLOOKUP(F$19,таблица,45,0),"Январь","Февраль","Март","Апрель","Май","Июнь","Июль","Август","Сентябрь","Октябрь","Ноябрь","Декабрь")," - ",CHOOSE(VLOOKUP(F$19,таблица,46,0),"Январь","Февраль","Март","Апрель","Май","Июнь","Июль","Август","Сентябрь","Октябрь","Ноябрь","Декабрь"),")")</f>
        <v>#VALUE!</v>
      </c>
      <c r="C367" s="33" t="s">
        <v>115</v>
      </c>
      <c r="D367" s="55">
        <f>IF(D369=0,0,VLOOKUP($F$19,таблица,50,0)*100+100)</f>
        <v>0</v>
      </c>
      <c r="J367" s="362" t="str">
        <f>IF(D367=0,"Пустая строка (убрать галочку)",1)</f>
        <v>Пустая строка (убрать галочку)</v>
      </c>
    </row>
    <row r="368" spans="1:10" hidden="1">
      <c r="A368" s="33">
        <f>IF(D368=0,0,IF(D367=0,A366+1,A367+1))</f>
        <v>0</v>
      </c>
      <c r="B368" s="32" t="str">
        <f>"Рост стоимости "&amp;'Анализ стоимости'!$AW$1&amp;" г."</f>
        <v>Рост стоимости 2018 г.</v>
      </c>
      <c r="C368" s="33" t="s">
        <v>116</v>
      </c>
      <c r="D368" s="34">
        <f>VLOOKUP($F$19,таблица,38,0)</f>
        <v>0</v>
      </c>
      <c r="J368" s="362" t="str">
        <f>IF(D368=0,"Пустая строка (убрать галочку)",1)</f>
        <v>Пустая строка (убрать галочку)</v>
      </c>
    </row>
    <row r="369" spans="1:10" hidden="1">
      <c r="A369" s="33">
        <f>IF(D369=0,0,IF(D368=0,A367+1,A368+1))</f>
        <v>0</v>
      </c>
      <c r="B369" s="32" t="str">
        <f>"Рост стоимости "&amp;'Анализ стоимости'!$AX$1&amp;" г."</f>
        <v>Рост стоимости 2019 г.</v>
      </c>
      <c r="C369" s="33" t="s">
        <v>116</v>
      </c>
      <c r="D369" s="34">
        <f>VLOOKUP($F$19,таблица,40,0)</f>
        <v>0</v>
      </c>
      <c r="J369" s="362" t="str">
        <f>IF(D369=0,"Пустая строка (убрать галочку)",1)</f>
        <v>Пустая строка (убрать галочку)</v>
      </c>
    </row>
    <row r="370" spans="1:10" hidden="1">
      <c r="A370" s="384" t="s">
        <v>117</v>
      </c>
      <c r="B370" s="384"/>
      <c r="C370" s="384"/>
      <c r="D370" s="384"/>
      <c r="J370" s="362" t="str">
        <f>IF($F$19=0,"Пустая строка (убрать галочку)",1)</f>
        <v>Пустая строка (убрать галочку)</v>
      </c>
    </row>
    <row r="371" spans="1:10" ht="31.5" hidden="1">
      <c r="A371" s="33">
        <f>IF(D371=0,0,IF(D369=0,IF(D368=0,A365+1,A368+1),A369+1))</f>
        <v>0</v>
      </c>
      <c r="B37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371" s="33" t="s">
        <v>116</v>
      </c>
      <c r="D371" s="34">
        <f>SUM(VLOOKUP($F$19,таблица,37,0),D368)</f>
        <v>0</v>
      </c>
      <c r="E371" s="7"/>
      <c r="J371" s="362" t="str">
        <f t="shared" ref="J371:J377" si="101">IF(D371=0,"Пустая строка (убрать галочку)",1)</f>
        <v>Пустая строка (убрать галочку)</v>
      </c>
    </row>
    <row r="372" spans="1:10" hidden="1">
      <c r="A372" s="33">
        <f>IF(D372=0,0,A371+1)</f>
        <v>0</v>
      </c>
      <c r="B372" s="45" t="s">
        <v>119</v>
      </c>
      <c r="C372" s="33" t="s">
        <v>116</v>
      </c>
      <c r="D372" s="34">
        <f>VLOOKUP($F$19,таблица,39,0)</f>
        <v>0</v>
      </c>
      <c r="E372" s="7"/>
      <c r="J372" s="362" t="str">
        <f t="shared" si="101"/>
        <v>Пустая строка (убрать галочку)</v>
      </c>
    </row>
    <row r="373" spans="1:10" hidden="1">
      <c r="A373" s="33">
        <f>IF(D373=0,0,A372+1)</f>
        <v>0</v>
      </c>
      <c r="B373" s="45" t="str">
        <f>"Всего с НДС на "&amp;'Анализ стоимости'!$AW$1&amp;" г."</f>
        <v>Всего с НДС на 2018 г.</v>
      </c>
      <c r="C373" s="33" t="s">
        <v>116</v>
      </c>
      <c r="D373" s="46">
        <f>SUM(D371:D372)</f>
        <v>0</v>
      </c>
      <c r="E373" s="56">
        <f>VLOOKUP($F$19,таблица,51,0)</f>
        <v>0</v>
      </c>
      <c r="J373" s="362" t="str">
        <f t="shared" si="101"/>
        <v>Пустая строка (убрать галочку)</v>
      </c>
    </row>
    <row r="374" spans="1:10" ht="31.5" hidden="1">
      <c r="A374" s="33">
        <f>IF(D374=0,0,IF(D373=0,IF(D369=0,A365+1,A369+1),A373+1))</f>
        <v>0</v>
      </c>
      <c r="B37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374" s="33" t="s">
        <v>116</v>
      </c>
      <c r="D374" s="34">
        <f>VLOOKUP($F$19,таблица,36,0)-VLOOKUP($F$19,таблица,37,0)+D369</f>
        <v>0</v>
      </c>
      <c r="J374" s="362" t="str">
        <f t="shared" si="101"/>
        <v>Пустая строка (убрать галочку)</v>
      </c>
    </row>
    <row r="375" spans="1:10" hidden="1">
      <c r="A375" s="33">
        <f>IF(D375=0,0,A374+1)</f>
        <v>0</v>
      </c>
      <c r="B375" s="45" t="s">
        <v>119</v>
      </c>
      <c r="C375" s="33" t="s">
        <v>116</v>
      </c>
      <c r="D375" s="34">
        <f>VLOOKUP($F$19,таблица,41,0)</f>
        <v>0</v>
      </c>
      <c r="J375" s="362" t="str">
        <f t="shared" si="101"/>
        <v>Пустая строка (убрать галочку)</v>
      </c>
    </row>
    <row r="376" spans="1:10" hidden="1">
      <c r="A376" s="33">
        <f>IF(D376=0,0,A375+1)</f>
        <v>0</v>
      </c>
      <c r="B376" s="45" t="str">
        <f>"Всего с НДС на "&amp;'Анализ стоимости'!$AX$1&amp;" г."</f>
        <v>Всего с НДС на 2019 г.</v>
      </c>
      <c r="C376" s="33" t="s">
        <v>116</v>
      </c>
      <c r="D376" s="46">
        <f>SUM(D374:D375)</f>
        <v>0</v>
      </c>
      <c r="E376" s="56">
        <f>VLOOKUP($F$19,таблица,52,0)</f>
        <v>0</v>
      </c>
      <c r="J376" s="362" t="str">
        <f t="shared" si="101"/>
        <v>Пустая строка (убрать галочку)</v>
      </c>
    </row>
    <row r="377" spans="1:10" hidden="1">
      <c r="A377" s="33">
        <f>IF(D377=0,0,A376+1)</f>
        <v>0</v>
      </c>
      <c r="B377" s="45" t="s">
        <v>118</v>
      </c>
      <c r="C377" s="33" t="s">
        <v>116</v>
      </c>
      <c r="D377" s="46">
        <f>IF(OR(D373=0,D376=0),0,D376+D373)</f>
        <v>0</v>
      </c>
      <c r="E377" s="56">
        <f>VLOOKUP($F$19,таблица,42,0)</f>
        <v>0</v>
      </c>
      <c r="J377" s="362" t="str">
        <f t="shared" si="101"/>
        <v>Пустая строка (убрать галочку)</v>
      </c>
    </row>
    <row r="378" spans="1:10" hidden="1">
      <c r="A378" s="13"/>
      <c r="B378" s="13"/>
      <c r="C378" s="13"/>
      <c r="D378" s="14"/>
      <c r="J378" s="362" t="str">
        <f>IF($F$19=0,"Пустая строка (убрать галочку)",1)</f>
        <v>Пустая строка (убрать галочку)</v>
      </c>
    </row>
    <row r="379" spans="1:10" ht="47.25" hidden="1" customHeight="1">
      <c r="A37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379" s="382"/>
      <c r="C379" s="61"/>
      <c r="D379" s="48" t="str">
        <f>'Анализ стоимости'!$I$101</f>
        <v>Шестопал О.Н.</v>
      </c>
      <c r="G379" s="43" t="str">
        <f>A379</f>
        <v>Специалист администрации Старонижестеблиевского сельского поселения Красноармейского района</v>
      </c>
      <c r="J379" s="362" t="str">
        <f>IF($F$19=0,"Пустая строка (убрать галочку)",1)</f>
        <v>Пустая строка (убрать галочку)</v>
      </c>
    </row>
    <row r="380" spans="1:10" hidden="1">
      <c r="A380" s="49"/>
      <c r="B380" s="49"/>
      <c r="C380" s="49"/>
      <c r="D380" s="50"/>
      <c r="J380" s="362" t="str">
        <f>IF($F$19=0,"Пустая строка (убрать галочку)",1)</f>
        <v>Пустая строка (убрать галочку)</v>
      </c>
    </row>
    <row r="381" spans="1:10" hidden="1">
      <c r="A381" s="375"/>
      <c r="B381" s="375"/>
      <c r="C381" s="3"/>
      <c r="D381" s="3"/>
      <c r="J381" s="362" t="str">
        <f>IF($F$19=0,"Пустая строка (убрать галочку)",1)</f>
        <v>Пустая строка (убрать галочку)</v>
      </c>
    </row>
    <row r="382" spans="1:10" hidden="1">
      <c r="A382" s="385" t="s">
        <v>138</v>
      </c>
      <c r="B382" s="385"/>
      <c r="C382" s="385"/>
      <c r="D382" s="385"/>
      <c r="G382" s="37"/>
      <c r="H382" s="37"/>
      <c r="J382" s="362" t="str">
        <f t="shared" ref="J382:J399" si="102">IF($F$20=0,"Пустая строка (убрать галочку)",1)</f>
        <v>Пустая строка (убрать галочку)</v>
      </c>
    </row>
    <row r="383" spans="1:10" ht="47.25" hidden="1" customHeight="1">
      <c r="A383" s="376" t="str">
        <f>CONCATENATE("Наименование объекта: ",VLOOKUP($F$20,таблица,9,0))</f>
        <v xml:space="preserve">Наименование объекта: </v>
      </c>
      <c r="B383" s="376"/>
      <c r="C383" s="376"/>
      <c r="D383" s="376"/>
      <c r="I383" s="58" t="str">
        <f>A383</f>
        <v xml:space="preserve">Наименование объекта: </v>
      </c>
      <c r="J383" s="362" t="str">
        <f t="shared" si="102"/>
        <v>Пустая строка (убрать галочку)</v>
      </c>
    </row>
    <row r="384" spans="1:10" hidden="1">
      <c r="A384" s="30"/>
      <c r="B384" s="25"/>
      <c r="C384" s="25"/>
      <c r="D384" s="25"/>
      <c r="J384" s="362" t="str">
        <f t="shared" si="102"/>
        <v>Пустая строка (убрать галочку)</v>
      </c>
    </row>
    <row r="385" spans="1:10" hidden="1">
      <c r="A385" s="29" t="s">
        <v>111</v>
      </c>
      <c r="B385" s="22"/>
      <c r="C385" s="22"/>
      <c r="D385" s="22"/>
      <c r="J385" s="362" t="str">
        <f t="shared" si="102"/>
        <v>Пустая строка (убрать галочку)</v>
      </c>
    </row>
    <row r="386" spans="1:10" hidden="1">
      <c r="A386" s="383" t="s">
        <v>112</v>
      </c>
      <c r="B386" s="383"/>
      <c r="C386" s="383"/>
      <c r="D386" s="383"/>
      <c r="J386" s="362" t="str">
        <f t="shared" si="102"/>
        <v>Пустая строка (убрать галочку)</v>
      </c>
    </row>
    <row r="387" spans="1:10" ht="47.25" hidden="1">
      <c r="A387" s="63" t="s">
        <v>67</v>
      </c>
      <c r="B387" s="63" t="s">
        <v>98</v>
      </c>
      <c r="C387" s="377" t="str">
        <f>CONCATENATE("Стоимость  согласно сметной документации (руб.) в текущих ценах по состоянию на ",VLOOKUP($F$20,таблица,5,0)," г.")</f>
        <v>Стоимость  согласно сметной документации (руб.) в текущих ценах по состоянию на  г.</v>
      </c>
      <c r="D387" s="378"/>
      <c r="H387" s="44" t="str">
        <f>C387</f>
        <v>Стоимость  согласно сметной документации (руб.) в текущих ценах по состоянию на  г.</v>
      </c>
      <c r="J387" s="362" t="str">
        <f t="shared" si="102"/>
        <v>Пустая строка (убрать галочку)</v>
      </c>
    </row>
    <row r="388" spans="1:10" hidden="1">
      <c r="A388" s="33">
        <v>1</v>
      </c>
      <c r="B388" s="32" t="s">
        <v>46</v>
      </c>
      <c r="C388" s="379">
        <f>VLOOKUP($F$20,таблица,10,0)</f>
        <v>0</v>
      </c>
      <c r="D388" s="380"/>
      <c r="J388" s="362" t="str">
        <f t="shared" si="102"/>
        <v>Пустая строка (убрать галочку)</v>
      </c>
    </row>
    <row r="389" spans="1:10" hidden="1">
      <c r="A389" s="33">
        <v>2</v>
      </c>
      <c r="B389" s="32" t="s">
        <v>41</v>
      </c>
      <c r="C389" s="379">
        <f>VLOOKUP($F$20,таблица,11,0)</f>
        <v>0</v>
      </c>
      <c r="D389" s="380"/>
      <c r="J389" s="362" t="str">
        <f t="shared" si="102"/>
        <v>Пустая строка (убрать галочку)</v>
      </c>
    </row>
    <row r="390" spans="1:10" ht="31.5" hidden="1">
      <c r="A390" s="33">
        <v>3</v>
      </c>
      <c r="B390" s="32" t="s">
        <v>3</v>
      </c>
      <c r="C390" s="379">
        <f>VLOOKUP($F$20,таблица,12,0)</f>
        <v>0</v>
      </c>
      <c r="D390" s="380"/>
      <c r="J390" s="362" t="str">
        <f t="shared" si="102"/>
        <v>Пустая строка (убрать галочку)</v>
      </c>
    </row>
    <row r="391" spans="1:10" hidden="1">
      <c r="A391" s="33">
        <v>4</v>
      </c>
      <c r="B391" s="32" t="s">
        <v>42</v>
      </c>
      <c r="C391" s="379">
        <f>VLOOKUP($F$20,таблица,13,0)</f>
        <v>0</v>
      </c>
      <c r="D391" s="380"/>
      <c r="J391" s="362" t="str">
        <f t="shared" si="102"/>
        <v>Пустая строка (убрать галочку)</v>
      </c>
    </row>
    <row r="392" spans="1:10" hidden="1">
      <c r="A392" s="33">
        <v>5</v>
      </c>
      <c r="B392" s="32" t="s">
        <v>5</v>
      </c>
      <c r="C392" s="379">
        <f>VLOOKUP($F$20,таблица,14,0)</f>
        <v>0</v>
      </c>
      <c r="D392" s="380"/>
      <c r="J392" s="362" t="str">
        <f t="shared" si="102"/>
        <v>Пустая строка (убрать галочку)</v>
      </c>
    </row>
    <row r="393" spans="1:10" hidden="1">
      <c r="A393" s="33">
        <v>6</v>
      </c>
      <c r="B393" s="32" t="s">
        <v>12</v>
      </c>
      <c r="C393" s="379">
        <f>VLOOKUP($F$20,таблица,18,0)</f>
        <v>0</v>
      </c>
      <c r="D393" s="380"/>
      <c r="J393" s="362" t="str">
        <f t="shared" si="102"/>
        <v>Пустая строка (убрать галочку)</v>
      </c>
    </row>
    <row r="394" spans="1:10" hidden="1">
      <c r="A394" s="33">
        <v>7</v>
      </c>
      <c r="B394" s="32" t="s">
        <v>88</v>
      </c>
      <c r="C394" s="379">
        <f>VLOOKUP($F$20,таблица,19,0)+VLOOKUP($F$20,таблица,21,0)+VLOOKUP($F$20,таблица,22,0)+VLOOKUP($F$20,таблица,23,0)+VLOOKUP($F$20,таблица,24,0)+VLOOKUP($F$20,таблица,25,0)+VLOOKUP($F$20,таблица,26,0)</f>
        <v>0</v>
      </c>
      <c r="D394" s="380"/>
      <c r="J394" s="362" t="str">
        <f t="shared" si="102"/>
        <v>Пустая строка (убрать галочку)</v>
      </c>
    </row>
    <row r="395" spans="1:10" hidden="1">
      <c r="A395" s="33">
        <v>8</v>
      </c>
      <c r="B395" s="32" t="s">
        <v>62</v>
      </c>
      <c r="C395" s="379">
        <f>VLOOKUP($F$20,таблица,31,0)</f>
        <v>0</v>
      </c>
      <c r="D395" s="380"/>
      <c r="J395" s="362" t="str">
        <f t="shared" si="102"/>
        <v>Пустая строка (убрать галочку)</v>
      </c>
    </row>
    <row r="396" spans="1:10" hidden="1">
      <c r="A396" s="33">
        <v>9</v>
      </c>
      <c r="B396" s="32" t="s">
        <v>127</v>
      </c>
      <c r="C396" s="379">
        <f>SUM(C388:D395)</f>
        <v>0</v>
      </c>
      <c r="D396" s="380"/>
      <c r="J396" s="362" t="str">
        <f t="shared" si="102"/>
        <v>Пустая строка (убрать галочку)</v>
      </c>
    </row>
    <row r="397" spans="1:10" hidden="1">
      <c r="A397" s="384" t="s">
        <v>122</v>
      </c>
      <c r="B397" s="384"/>
      <c r="C397" s="384"/>
      <c r="D397" s="384"/>
      <c r="J397" s="362" t="str">
        <f t="shared" si="102"/>
        <v>Пустая строка (убрать галочку)</v>
      </c>
    </row>
    <row r="398" spans="1:10" ht="31.5" hidden="1">
      <c r="A398" s="35" t="s">
        <v>67</v>
      </c>
      <c r="B398" s="63" t="s">
        <v>21</v>
      </c>
      <c r="C398" s="63" t="s">
        <v>114</v>
      </c>
      <c r="D398" s="63" t="s">
        <v>99</v>
      </c>
      <c r="J398" s="362" t="str">
        <f t="shared" si="102"/>
        <v>Пустая строка (убрать галочку)</v>
      </c>
    </row>
    <row r="399" spans="1:10" hidden="1">
      <c r="A399" s="33">
        <v>10</v>
      </c>
      <c r="B399" s="33" t="e">
        <f>VLOOKUP((VLOOKUP($F$20,таблица,8,0)),рем_содер,2,0)</f>
        <v>#N/A</v>
      </c>
      <c r="C399" s="33"/>
      <c r="D399" s="32"/>
      <c r="J399" s="362" t="str">
        <f t="shared" si="102"/>
        <v>Пустая строка (убрать галочку)</v>
      </c>
    </row>
    <row r="400" spans="1:10" hidden="1">
      <c r="A400" s="33">
        <f>IF(D400=0,0,A399+1)</f>
        <v>0</v>
      </c>
      <c r="B400" s="32" t="e">
        <f>CONCATENATE('Анализ стоимости'!$AW$1," г (",CHOOSE(VLOOKUP(F$20,таблица,43,0),"Январь","Февраль","Март","Апрель","Май","Июнь","Июль","Август","Сентябрь","Октябрь","Ноябрь","Декабрь")," - ",CHOOSE(VLOOKUP(F$20,таблица,44,0),"Январь","Февраль","Март","Апрель","Май","Июнь","Июль","Август","Сентябрь","Октябрь","Ноябрь","Декабрь"),")")</f>
        <v>#VALUE!</v>
      </c>
      <c r="C400" s="33" t="s">
        <v>115</v>
      </c>
      <c r="D400" s="55">
        <f>IF(D402=0,0,VLOOKUP($F$20,таблица,49,0)*100+100)</f>
        <v>0</v>
      </c>
      <c r="J400" s="362" t="str">
        <f>IF(D400=0,"Пустая строка (убрать галочку)",1)</f>
        <v>Пустая строка (убрать галочку)</v>
      </c>
    </row>
    <row r="401" spans="1:10" hidden="1">
      <c r="A401" s="33">
        <f>IF(D401=0,0,IF(D400=0,A399+1,A400+1))</f>
        <v>0</v>
      </c>
      <c r="B401" s="32" t="e">
        <f>CONCATENATE('Анализ стоимости'!$AX$1," г (",CHOOSE(VLOOKUP(F$20,таблица,45,0),"Январь","Февраль","Март","Апрель","Май","Июнь","Июль","Август","Сентябрь","Октябрь","Ноябрь","Декабрь")," - ",CHOOSE(VLOOKUP(F$20,таблица,46,0),"Январь","Февраль","Март","Апрель","Май","Июнь","Июль","Август","Сентябрь","Октябрь","Ноябрь","Декабрь"),")")</f>
        <v>#VALUE!</v>
      </c>
      <c r="C401" s="33" t="s">
        <v>115</v>
      </c>
      <c r="D401" s="55">
        <f>IF(D403=0,0,VLOOKUP($F$20,таблица,50,0)*100+100)</f>
        <v>0</v>
      </c>
      <c r="J401" s="362" t="str">
        <f>IF(D401=0,"Пустая строка (убрать галочку)",1)</f>
        <v>Пустая строка (убрать галочку)</v>
      </c>
    </row>
    <row r="402" spans="1:10" hidden="1">
      <c r="A402" s="33">
        <f>IF(D402=0,0,IF(D401=0,A400+1,A401+1))</f>
        <v>0</v>
      </c>
      <c r="B402" s="32" t="str">
        <f>"Рост стоимости "&amp;'Анализ стоимости'!$AW$1&amp;" г."</f>
        <v>Рост стоимости 2018 г.</v>
      </c>
      <c r="C402" s="33" t="s">
        <v>116</v>
      </c>
      <c r="D402" s="34">
        <f>VLOOKUP($F$20,таблица,38,0)</f>
        <v>0</v>
      </c>
      <c r="J402" s="362" t="str">
        <f>IF(D402=0,"Пустая строка (убрать галочку)",1)</f>
        <v>Пустая строка (убрать галочку)</v>
      </c>
    </row>
    <row r="403" spans="1:10" hidden="1">
      <c r="A403" s="33">
        <f>IF(D403=0,0,IF(D402=0,A401+1,A402+1))</f>
        <v>0</v>
      </c>
      <c r="B403" s="32" t="str">
        <f>"Рост стоимости "&amp;'Анализ стоимости'!$AX$1&amp;" г."</f>
        <v>Рост стоимости 2019 г.</v>
      </c>
      <c r="C403" s="33" t="s">
        <v>116</v>
      </c>
      <c r="D403" s="34">
        <f>VLOOKUP($F$20,таблица,40,0)</f>
        <v>0</v>
      </c>
      <c r="J403" s="362" t="str">
        <f>IF(D403=0,"Пустая строка (убрать галочку)",1)</f>
        <v>Пустая строка (убрать галочку)</v>
      </c>
    </row>
    <row r="404" spans="1:10" hidden="1">
      <c r="A404" s="384" t="s">
        <v>117</v>
      </c>
      <c r="B404" s="384"/>
      <c r="C404" s="384"/>
      <c r="D404" s="384"/>
      <c r="J404" s="362" t="str">
        <f>IF($F$20=0,"Пустая строка (убрать галочку)",1)</f>
        <v>Пустая строка (убрать галочку)</v>
      </c>
    </row>
    <row r="405" spans="1:10" ht="31.5" hidden="1">
      <c r="A405" s="33">
        <f>IF(D405=0,0,IF(D403=0,IF(D402=0,A399+1,A402+1),A403+1))</f>
        <v>0</v>
      </c>
      <c r="B40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405" s="33" t="s">
        <v>116</v>
      </c>
      <c r="D405" s="34">
        <f>SUM(VLOOKUP($F$20,таблица,37,0),D402)</f>
        <v>0</v>
      </c>
      <c r="E405" s="7"/>
      <c r="J405" s="362" t="str">
        <f t="shared" ref="J405:J411" si="103">IF(D405=0,"Пустая строка (убрать галочку)",1)</f>
        <v>Пустая строка (убрать галочку)</v>
      </c>
    </row>
    <row r="406" spans="1:10" hidden="1">
      <c r="A406" s="33">
        <f>IF(D406=0,0,A405+1)</f>
        <v>0</v>
      </c>
      <c r="B406" s="45" t="s">
        <v>119</v>
      </c>
      <c r="C406" s="33" t="s">
        <v>116</v>
      </c>
      <c r="D406" s="34">
        <f>VLOOKUP($F$20,таблица,39,0)</f>
        <v>0</v>
      </c>
      <c r="E406" s="7"/>
      <c r="J406" s="362" t="str">
        <f t="shared" si="103"/>
        <v>Пустая строка (убрать галочку)</v>
      </c>
    </row>
    <row r="407" spans="1:10" hidden="1">
      <c r="A407" s="33">
        <f>IF(D407=0,0,A406+1)</f>
        <v>0</v>
      </c>
      <c r="B407" s="45" t="str">
        <f>"Всего с НДС на "&amp;'Анализ стоимости'!$AW$1&amp;" г."</f>
        <v>Всего с НДС на 2018 г.</v>
      </c>
      <c r="C407" s="33" t="s">
        <v>116</v>
      </c>
      <c r="D407" s="46">
        <f>SUM(D405:D406)</f>
        <v>0</v>
      </c>
      <c r="E407" s="56">
        <f>VLOOKUP($F$20,таблица,51,0)</f>
        <v>0</v>
      </c>
      <c r="J407" s="362" t="str">
        <f t="shared" si="103"/>
        <v>Пустая строка (убрать галочку)</v>
      </c>
    </row>
    <row r="408" spans="1:10" ht="31.5" hidden="1">
      <c r="A408" s="33">
        <f>IF(D408=0,0,IF(D407=0,IF(D403=0,A399+1,A403+1),A407+1))</f>
        <v>0</v>
      </c>
      <c r="B40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408" s="33" t="s">
        <v>116</v>
      </c>
      <c r="D408" s="34">
        <f>VLOOKUP($F$20,таблица,36,0)-VLOOKUP($F$20,таблица,37,0)+D403</f>
        <v>0</v>
      </c>
      <c r="J408" s="362" t="str">
        <f t="shared" si="103"/>
        <v>Пустая строка (убрать галочку)</v>
      </c>
    </row>
    <row r="409" spans="1:10" hidden="1">
      <c r="A409" s="33">
        <f>IF(D409=0,0,A408+1)</f>
        <v>0</v>
      </c>
      <c r="B409" s="45" t="s">
        <v>119</v>
      </c>
      <c r="C409" s="33" t="s">
        <v>116</v>
      </c>
      <c r="D409" s="34">
        <f>VLOOKUP($F$20,таблица,41,0)</f>
        <v>0</v>
      </c>
      <c r="J409" s="362" t="str">
        <f t="shared" si="103"/>
        <v>Пустая строка (убрать галочку)</v>
      </c>
    </row>
    <row r="410" spans="1:10" hidden="1">
      <c r="A410" s="33">
        <f>IF(D410=0,0,A409+1)</f>
        <v>0</v>
      </c>
      <c r="B410" s="45" t="str">
        <f>"Всего с НДС на "&amp;'Анализ стоимости'!$AX$1&amp;" г."</f>
        <v>Всего с НДС на 2019 г.</v>
      </c>
      <c r="C410" s="33" t="s">
        <v>116</v>
      </c>
      <c r="D410" s="46">
        <f>SUM(D408:D409)</f>
        <v>0</v>
      </c>
      <c r="E410" s="56">
        <f>VLOOKUP($F$20,таблица,52,0)</f>
        <v>0</v>
      </c>
      <c r="J410" s="362" t="str">
        <f t="shared" si="103"/>
        <v>Пустая строка (убрать галочку)</v>
      </c>
    </row>
    <row r="411" spans="1:10" hidden="1">
      <c r="A411" s="33">
        <f>IF(D411=0,0,A410+1)</f>
        <v>0</v>
      </c>
      <c r="B411" s="45" t="s">
        <v>118</v>
      </c>
      <c r="C411" s="33" t="s">
        <v>116</v>
      </c>
      <c r="D411" s="46">
        <f>IF(OR(D407=0,D410=0),0,D410+D407)</f>
        <v>0</v>
      </c>
      <c r="E411" s="56">
        <f>VLOOKUP($F$20,таблица,42,0)</f>
        <v>0</v>
      </c>
      <c r="J411" s="362" t="str">
        <f t="shared" si="103"/>
        <v>Пустая строка (убрать галочку)</v>
      </c>
    </row>
    <row r="412" spans="1:10" hidden="1">
      <c r="A412" s="13"/>
      <c r="B412" s="13"/>
      <c r="C412" s="13"/>
      <c r="D412" s="14"/>
      <c r="J412" s="362" t="str">
        <f>IF($F$20=0,"Пустая строка (убрать галочку)",1)</f>
        <v>Пустая строка (убрать галочку)</v>
      </c>
    </row>
    <row r="413" spans="1:10" ht="47.25" hidden="1" customHeight="1">
      <c r="A41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413" s="382"/>
      <c r="C413" s="61"/>
      <c r="D413" s="48" t="str">
        <f>'Анализ стоимости'!$I$101</f>
        <v>Шестопал О.Н.</v>
      </c>
      <c r="G413" s="43" t="str">
        <f>A413</f>
        <v>Специалист администрации Старонижестеблиевского сельского поселения Красноармейского района</v>
      </c>
      <c r="J413" s="362" t="str">
        <f>IF($F$20=0,"Пустая строка (убрать галочку)",1)</f>
        <v>Пустая строка (убрать галочку)</v>
      </c>
    </row>
    <row r="414" spans="1:10" hidden="1">
      <c r="A414" s="49"/>
      <c r="B414" s="49"/>
      <c r="C414" s="49"/>
      <c r="D414" s="50"/>
      <c r="J414" s="362" t="str">
        <f>IF($F$20=0,"Пустая строка (убрать галочку)",1)</f>
        <v>Пустая строка (убрать галочку)</v>
      </c>
    </row>
    <row r="415" spans="1:10" hidden="1">
      <c r="A415" s="375"/>
      <c r="B415" s="375"/>
      <c r="C415" s="3"/>
      <c r="D415" s="3"/>
      <c r="J415" s="362" t="str">
        <f>IF($F$20=0,"Пустая строка (убрать галочку)",1)</f>
        <v>Пустая строка (убрать галочку)</v>
      </c>
    </row>
    <row r="416" spans="1:10" hidden="1">
      <c r="A416" s="385" t="s">
        <v>139</v>
      </c>
      <c r="B416" s="385"/>
      <c r="C416" s="385"/>
      <c r="D416" s="385"/>
      <c r="G416" s="37"/>
      <c r="H416" s="37"/>
      <c r="J416" s="362" t="str">
        <f t="shared" ref="J416:J433" si="104">IF($F$21=0,"Пустая строка (убрать галочку)",1)</f>
        <v>Пустая строка (убрать галочку)</v>
      </c>
    </row>
    <row r="417" spans="1:10" ht="47.25" hidden="1" customHeight="1">
      <c r="A417" s="376" t="str">
        <f>CONCATENATE("Наименование объекта: ",VLOOKUP($F$21,таблица,9,0))</f>
        <v xml:space="preserve">Наименование объекта: </v>
      </c>
      <c r="B417" s="376"/>
      <c r="C417" s="376"/>
      <c r="D417" s="376"/>
      <c r="I417" s="58" t="str">
        <f>A417</f>
        <v xml:space="preserve">Наименование объекта: </v>
      </c>
      <c r="J417" s="362" t="str">
        <f t="shared" si="104"/>
        <v>Пустая строка (убрать галочку)</v>
      </c>
    </row>
    <row r="418" spans="1:10" hidden="1">
      <c r="A418" s="30"/>
      <c r="B418" s="25"/>
      <c r="C418" s="25"/>
      <c r="D418" s="25"/>
      <c r="J418" s="362" t="str">
        <f t="shared" si="104"/>
        <v>Пустая строка (убрать галочку)</v>
      </c>
    </row>
    <row r="419" spans="1:10" hidden="1">
      <c r="A419" s="29" t="s">
        <v>111</v>
      </c>
      <c r="B419" s="22"/>
      <c r="C419" s="22"/>
      <c r="D419" s="22"/>
      <c r="J419" s="362" t="str">
        <f t="shared" si="104"/>
        <v>Пустая строка (убрать галочку)</v>
      </c>
    </row>
    <row r="420" spans="1:10" hidden="1">
      <c r="A420" s="383" t="s">
        <v>112</v>
      </c>
      <c r="B420" s="383"/>
      <c r="C420" s="383"/>
      <c r="D420" s="383"/>
      <c r="J420" s="362" t="str">
        <f t="shared" si="104"/>
        <v>Пустая строка (убрать галочку)</v>
      </c>
    </row>
    <row r="421" spans="1:10" ht="47.25" hidden="1">
      <c r="A421" s="63" t="s">
        <v>67</v>
      </c>
      <c r="B421" s="63" t="s">
        <v>98</v>
      </c>
      <c r="C421" s="377" t="str">
        <f>CONCATENATE("Стоимость  согласно сметной документации (руб.) в текущих ценах по состоянию на ",VLOOKUP($F$21,таблица,5,0)," г.")</f>
        <v>Стоимость  согласно сметной документации (руб.) в текущих ценах по состоянию на  г.</v>
      </c>
      <c r="D421" s="378"/>
      <c r="H421" s="44" t="str">
        <f>C421</f>
        <v>Стоимость  согласно сметной документации (руб.) в текущих ценах по состоянию на  г.</v>
      </c>
      <c r="J421" s="362" t="str">
        <f t="shared" si="104"/>
        <v>Пустая строка (убрать галочку)</v>
      </c>
    </row>
    <row r="422" spans="1:10" hidden="1">
      <c r="A422" s="33">
        <v>1</v>
      </c>
      <c r="B422" s="32" t="s">
        <v>46</v>
      </c>
      <c r="C422" s="379">
        <f>VLOOKUP($F$21,таблица,10,0)</f>
        <v>0</v>
      </c>
      <c r="D422" s="380"/>
      <c r="J422" s="362" t="str">
        <f t="shared" si="104"/>
        <v>Пустая строка (убрать галочку)</v>
      </c>
    </row>
    <row r="423" spans="1:10" hidden="1">
      <c r="A423" s="33">
        <v>2</v>
      </c>
      <c r="B423" s="32" t="s">
        <v>41</v>
      </c>
      <c r="C423" s="379">
        <f>VLOOKUP($F$21,таблица,11,0)</f>
        <v>0</v>
      </c>
      <c r="D423" s="380"/>
      <c r="J423" s="362" t="str">
        <f t="shared" si="104"/>
        <v>Пустая строка (убрать галочку)</v>
      </c>
    </row>
    <row r="424" spans="1:10" ht="31.5" hidden="1">
      <c r="A424" s="33">
        <v>3</v>
      </c>
      <c r="B424" s="32" t="s">
        <v>3</v>
      </c>
      <c r="C424" s="379">
        <f>VLOOKUP($F$21,таблица,12,0)</f>
        <v>0</v>
      </c>
      <c r="D424" s="380"/>
      <c r="J424" s="362" t="str">
        <f t="shared" si="104"/>
        <v>Пустая строка (убрать галочку)</v>
      </c>
    </row>
    <row r="425" spans="1:10" hidden="1">
      <c r="A425" s="33">
        <v>4</v>
      </c>
      <c r="B425" s="32" t="s">
        <v>42</v>
      </c>
      <c r="C425" s="379">
        <f>VLOOKUP($F$21,таблица,13,0)</f>
        <v>0</v>
      </c>
      <c r="D425" s="380"/>
      <c r="J425" s="362" t="str">
        <f t="shared" si="104"/>
        <v>Пустая строка (убрать галочку)</v>
      </c>
    </row>
    <row r="426" spans="1:10" hidden="1">
      <c r="A426" s="33">
        <v>5</v>
      </c>
      <c r="B426" s="32" t="s">
        <v>5</v>
      </c>
      <c r="C426" s="379">
        <f>VLOOKUP($F$21,таблица,14,0)</f>
        <v>0</v>
      </c>
      <c r="D426" s="380"/>
      <c r="J426" s="362" t="str">
        <f t="shared" si="104"/>
        <v>Пустая строка (убрать галочку)</v>
      </c>
    </row>
    <row r="427" spans="1:10" hidden="1">
      <c r="A427" s="33">
        <v>6</v>
      </c>
      <c r="B427" s="32" t="s">
        <v>12</v>
      </c>
      <c r="C427" s="379">
        <f>VLOOKUP($F$21,таблица,18,0)</f>
        <v>0</v>
      </c>
      <c r="D427" s="380"/>
      <c r="J427" s="362" t="str">
        <f t="shared" si="104"/>
        <v>Пустая строка (убрать галочку)</v>
      </c>
    </row>
    <row r="428" spans="1:10" hidden="1">
      <c r="A428" s="33">
        <v>7</v>
      </c>
      <c r="B428" s="32" t="s">
        <v>88</v>
      </c>
      <c r="C428" s="379">
        <f>VLOOKUP($F$21,таблица,19,0)+VLOOKUP($F$21,таблица,21,0)+VLOOKUP($F$21,таблица,22,0)+VLOOKUP($F$21,таблица,23,0)+VLOOKUP($F$21,таблица,24,0)+VLOOKUP($F$21,таблица,25,0)+VLOOKUP($F$21,таблица,26,0)</f>
        <v>0</v>
      </c>
      <c r="D428" s="380"/>
      <c r="J428" s="362" t="str">
        <f t="shared" si="104"/>
        <v>Пустая строка (убрать галочку)</v>
      </c>
    </row>
    <row r="429" spans="1:10" hidden="1">
      <c r="A429" s="33">
        <v>8</v>
      </c>
      <c r="B429" s="32" t="s">
        <v>62</v>
      </c>
      <c r="C429" s="379">
        <f>VLOOKUP($F$21,таблица,31,0)</f>
        <v>0</v>
      </c>
      <c r="D429" s="380"/>
      <c r="J429" s="362" t="str">
        <f t="shared" si="104"/>
        <v>Пустая строка (убрать галочку)</v>
      </c>
    </row>
    <row r="430" spans="1:10" hidden="1">
      <c r="A430" s="33">
        <v>9</v>
      </c>
      <c r="B430" s="32" t="s">
        <v>127</v>
      </c>
      <c r="C430" s="379">
        <f>SUM(C422:D429)</f>
        <v>0</v>
      </c>
      <c r="D430" s="380"/>
      <c r="J430" s="362" t="str">
        <f t="shared" si="104"/>
        <v>Пустая строка (убрать галочку)</v>
      </c>
    </row>
    <row r="431" spans="1:10" hidden="1">
      <c r="A431" s="384" t="s">
        <v>122</v>
      </c>
      <c r="B431" s="384"/>
      <c r="C431" s="384"/>
      <c r="D431" s="384"/>
      <c r="J431" s="362" t="str">
        <f t="shared" si="104"/>
        <v>Пустая строка (убрать галочку)</v>
      </c>
    </row>
    <row r="432" spans="1:10" ht="31.5" hidden="1">
      <c r="A432" s="35" t="s">
        <v>67</v>
      </c>
      <c r="B432" s="63" t="s">
        <v>21</v>
      </c>
      <c r="C432" s="63" t="s">
        <v>114</v>
      </c>
      <c r="D432" s="63" t="s">
        <v>99</v>
      </c>
      <c r="J432" s="362" t="str">
        <f t="shared" si="104"/>
        <v>Пустая строка (убрать галочку)</v>
      </c>
    </row>
    <row r="433" spans="1:10" hidden="1">
      <c r="A433" s="33">
        <v>10</v>
      </c>
      <c r="B433" s="33" t="e">
        <f>VLOOKUP((VLOOKUP($F$21,таблица,8,0)),рем_содер,2,0)</f>
        <v>#N/A</v>
      </c>
      <c r="C433" s="33"/>
      <c r="D433" s="32"/>
      <c r="J433" s="362" t="str">
        <f t="shared" si="104"/>
        <v>Пустая строка (убрать галочку)</v>
      </c>
    </row>
    <row r="434" spans="1:10" hidden="1">
      <c r="A434" s="33">
        <f>IF(D434=0,0,A433+1)</f>
        <v>0</v>
      </c>
      <c r="B434" s="32" t="e">
        <f>CONCATENATE('Анализ стоимости'!$AW$1," г (",CHOOSE(VLOOKUP(F$21,таблица,43,0),"Январь","Февраль","Март","Апрель","Май","Июнь","Июль","Август","Сентябрь","Октябрь","Ноябрь","Декабрь")," - ",CHOOSE(VLOOKUP(F$21,таблица,44,0),"Январь","Февраль","Март","Апрель","Май","Июнь","Июль","Август","Сентябрь","Октябрь","Ноябрь","Декабрь"),")")</f>
        <v>#VALUE!</v>
      </c>
      <c r="C434" s="33" t="s">
        <v>115</v>
      </c>
      <c r="D434" s="55">
        <f>IF(D436=0,0,VLOOKUP($F$21,таблица,49,0)*100+100)</f>
        <v>0</v>
      </c>
      <c r="J434" s="362" t="str">
        <f>IF(D434=0,"Пустая строка (убрать галочку)",1)</f>
        <v>Пустая строка (убрать галочку)</v>
      </c>
    </row>
    <row r="435" spans="1:10" hidden="1">
      <c r="A435" s="33">
        <f>IF(D435=0,0,IF(D434=0,A433+1,A434+1))</f>
        <v>0</v>
      </c>
      <c r="B435" s="32" t="e">
        <f>CONCATENATE('Анализ стоимости'!$AX$1," г (",CHOOSE(VLOOKUP(F$21,таблица,45,0),"Январь","Февраль","Март","Апрель","Май","Июнь","Июль","Август","Сентябрь","Октябрь","Ноябрь","Декабрь")," - ",CHOOSE(VLOOKUP(F$21,таблица,46,0),"Январь","Февраль","Март","Апрель","Май","Июнь","Июль","Август","Сентябрь","Октябрь","Ноябрь","Декабрь"),")")</f>
        <v>#VALUE!</v>
      </c>
      <c r="C435" s="33" t="s">
        <v>115</v>
      </c>
      <c r="D435" s="55">
        <f>IF(D437=0,0,VLOOKUP($F$21,таблица,50,0)*100+100)</f>
        <v>0</v>
      </c>
      <c r="J435" s="362" t="str">
        <f>IF(D435=0,"Пустая строка (убрать галочку)",1)</f>
        <v>Пустая строка (убрать галочку)</v>
      </c>
    </row>
    <row r="436" spans="1:10" hidden="1">
      <c r="A436" s="33">
        <f>IF(D436=0,0,IF(D435=0,A434+1,A435+1))</f>
        <v>0</v>
      </c>
      <c r="B436" s="32" t="str">
        <f>"Рост стоимости "&amp;'Анализ стоимости'!$AW$1&amp;" г."</f>
        <v>Рост стоимости 2018 г.</v>
      </c>
      <c r="C436" s="33" t="s">
        <v>116</v>
      </c>
      <c r="D436" s="34">
        <f>VLOOKUP($F$21,таблица,38,0)</f>
        <v>0</v>
      </c>
      <c r="J436" s="362" t="str">
        <f>IF(D436=0,"Пустая строка (убрать галочку)",1)</f>
        <v>Пустая строка (убрать галочку)</v>
      </c>
    </row>
    <row r="437" spans="1:10" hidden="1">
      <c r="A437" s="33">
        <f>IF(D437=0,0,IF(D436=0,A435+1,A436+1))</f>
        <v>0</v>
      </c>
      <c r="B437" s="32" t="str">
        <f>"Рост стоимости "&amp;'Анализ стоимости'!$AX$1&amp;" г."</f>
        <v>Рост стоимости 2019 г.</v>
      </c>
      <c r="C437" s="33" t="s">
        <v>116</v>
      </c>
      <c r="D437" s="34">
        <f>VLOOKUP($F$21,таблица,40,0)</f>
        <v>0</v>
      </c>
      <c r="J437" s="362" t="str">
        <f>IF(D437=0,"Пустая строка (убрать галочку)",1)</f>
        <v>Пустая строка (убрать галочку)</v>
      </c>
    </row>
    <row r="438" spans="1:10" hidden="1">
      <c r="A438" s="384" t="s">
        <v>117</v>
      </c>
      <c r="B438" s="384"/>
      <c r="C438" s="384"/>
      <c r="D438" s="384"/>
      <c r="J438" s="362" t="str">
        <f>IF($F$21=0,"Пустая строка (убрать галочку)",1)</f>
        <v>Пустая строка (убрать галочку)</v>
      </c>
    </row>
    <row r="439" spans="1:10" ht="31.5" hidden="1">
      <c r="A439" s="33">
        <f>IF(D439=0,0,IF(D437=0,IF(D436=0,A433+1,A436+1),A437+1))</f>
        <v>0</v>
      </c>
      <c r="B43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439" s="33" t="s">
        <v>116</v>
      </c>
      <c r="D439" s="34">
        <f>SUM(VLOOKUP($F$21,таблица,37,0),D436)</f>
        <v>0</v>
      </c>
      <c r="E439" s="7"/>
      <c r="J439" s="362" t="str">
        <f t="shared" ref="J439:J445" si="105">IF(D439=0,"Пустая строка (убрать галочку)",1)</f>
        <v>Пустая строка (убрать галочку)</v>
      </c>
    </row>
    <row r="440" spans="1:10" hidden="1">
      <c r="A440" s="33">
        <f>IF(D440=0,0,A439+1)</f>
        <v>0</v>
      </c>
      <c r="B440" s="45" t="s">
        <v>119</v>
      </c>
      <c r="C440" s="33" t="s">
        <v>116</v>
      </c>
      <c r="D440" s="34">
        <f>VLOOKUP($F$21,таблица,39,0)</f>
        <v>0</v>
      </c>
      <c r="E440" s="7"/>
      <c r="J440" s="362" t="str">
        <f t="shared" si="105"/>
        <v>Пустая строка (убрать галочку)</v>
      </c>
    </row>
    <row r="441" spans="1:10" hidden="1">
      <c r="A441" s="33">
        <f>IF(D441=0,0,A440+1)</f>
        <v>0</v>
      </c>
      <c r="B441" s="45" t="str">
        <f>"Всего с НДС на "&amp;'Анализ стоимости'!$AW$1&amp;" г."</f>
        <v>Всего с НДС на 2018 г.</v>
      </c>
      <c r="C441" s="33" t="s">
        <v>116</v>
      </c>
      <c r="D441" s="46">
        <f>SUM(D439:D440)</f>
        <v>0</v>
      </c>
      <c r="E441" s="56">
        <f>VLOOKUP($F$21,таблица,51,0)</f>
        <v>0</v>
      </c>
      <c r="J441" s="362" t="str">
        <f t="shared" si="105"/>
        <v>Пустая строка (убрать галочку)</v>
      </c>
    </row>
    <row r="442" spans="1:10" ht="31.5" hidden="1">
      <c r="A442" s="33">
        <f>IF(D442=0,0,IF(D441=0,IF(D437=0,A433+1,A437+1),A441+1))</f>
        <v>0</v>
      </c>
      <c r="B44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442" s="33" t="s">
        <v>116</v>
      </c>
      <c r="D442" s="34">
        <f>VLOOKUP($F$21,таблица,36,0)-VLOOKUP($F$21,таблица,37,0)+D437</f>
        <v>0</v>
      </c>
      <c r="J442" s="362" t="str">
        <f t="shared" si="105"/>
        <v>Пустая строка (убрать галочку)</v>
      </c>
    </row>
    <row r="443" spans="1:10" hidden="1">
      <c r="A443" s="33">
        <f>IF(D443=0,0,A442+1)</f>
        <v>0</v>
      </c>
      <c r="B443" s="45" t="s">
        <v>119</v>
      </c>
      <c r="C443" s="33" t="s">
        <v>116</v>
      </c>
      <c r="D443" s="34">
        <f>VLOOKUP($F$21,таблица,41,0)</f>
        <v>0</v>
      </c>
      <c r="J443" s="362" t="str">
        <f t="shared" si="105"/>
        <v>Пустая строка (убрать галочку)</v>
      </c>
    </row>
    <row r="444" spans="1:10" hidden="1">
      <c r="A444" s="33">
        <f>IF(D444=0,0,A443+1)</f>
        <v>0</v>
      </c>
      <c r="B444" s="45" t="str">
        <f>"Всего с НДС на "&amp;'Анализ стоимости'!$AX$1&amp;" г."</f>
        <v>Всего с НДС на 2019 г.</v>
      </c>
      <c r="C444" s="33" t="s">
        <v>116</v>
      </c>
      <c r="D444" s="46">
        <f>SUM(D442:D443)</f>
        <v>0</v>
      </c>
      <c r="E444" s="56">
        <f>VLOOKUP($F$21,таблица,52,0)</f>
        <v>0</v>
      </c>
      <c r="J444" s="362" t="str">
        <f t="shared" si="105"/>
        <v>Пустая строка (убрать галочку)</v>
      </c>
    </row>
    <row r="445" spans="1:10" hidden="1">
      <c r="A445" s="33">
        <f>IF(D445=0,0,A444+1)</f>
        <v>0</v>
      </c>
      <c r="B445" s="45" t="s">
        <v>118</v>
      </c>
      <c r="C445" s="33" t="s">
        <v>116</v>
      </c>
      <c r="D445" s="46">
        <f>IF(OR(D441=0,D444=0),0,D444+D441)</f>
        <v>0</v>
      </c>
      <c r="E445" s="56">
        <f>VLOOKUP($F$21,таблица,42,0)</f>
        <v>0</v>
      </c>
      <c r="J445" s="362" t="str">
        <f t="shared" si="105"/>
        <v>Пустая строка (убрать галочку)</v>
      </c>
    </row>
    <row r="446" spans="1:10" hidden="1">
      <c r="A446" s="13"/>
      <c r="B446" s="13"/>
      <c r="C446" s="13"/>
      <c r="D446" s="14"/>
      <c r="J446" s="362" t="str">
        <f>IF($F$21=0,"Пустая строка (убрать галочку)",1)</f>
        <v>Пустая строка (убрать галочку)</v>
      </c>
    </row>
    <row r="447" spans="1:10" ht="47.25" hidden="1" customHeight="1">
      <c r="A44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447" s="382"/>
      <c r="C447" s="61"/>
      <c r="D447" s="48" t="str">
        <f>'Анализ стоимости'!$I$101</f>
        <v>Шестопал О.Н.</v>
      </c>
      <c r="G447" s="43" t="str">
        <f>A447</f>
        <v>Специалист администрации Старонижестеблиевского сельского поселения Красноармейского района</v>
      </c>
      <c r="J447" s="362" t="str">
        <f>IF($F$21=0,"Пустая строка (убрать галочку)",1)</f>
        <v>Пустая строка (убрать галочку)</v>
      </c>
    </row>
    <row r="448" spans="1:10" hidden="1">
      <c r="A448" s="49"/>
      <c r="B448" s="49"/>
      <c r="C448" s="49"/>
      <c r="D448" s="50"/>
      <c r="J448" s="362" t="str">
        <f>IF($F$21=0,"Пустая строка (убрать галочку)",1)</f>
        <v>Пустая строка (убрать галочку)</v>
      </c>
    </row>
    <row r="449" spans="1:10" hidden="1">
      <c r="A449" s="375"/>
      <c r="B449" s="375"/>
      <c r="C449" s="3"/>
      <c r="D449" s="3"/>
      <c r="J449" s="362" t="str">
        <f>IF($F$21=0,"Пустая строка (убрать галочку)",1)</f>
        <v>Пустая строка (убрать галочку)</v>
      </c>
    </row>
    <row r="450" spans="1:10" hidden="1">
      <c r="A450" s="385" t="s">
        <v>140</v>
      </c>
      <c r="B450" s="385"/>
      <c r="C450" s="385"/>
      <c r="D450" s="385"/>
      <c r="G450" s="37"/>
      <c r="H450" s="37"/>
      <c r="J450" s="362" t="str">
        <f t="shared" ref="J450:J467" si="106">IF($F$22=0,"Пустая строка (убрать галочку)",1)</f>
        <v>Пустая строка (убрать галочку)</v>
      </c>
    </row>
    <row r="451" spans="1:10" ht="47.25" hidden="1" customHeight="1">
      <c r="A451" s="376" t="str">
        <f>CONCATENATE("Наименование объекта: ",VLOOKUP($F$22,таблица,9,0))</f>
        <v xml:space="preserve">Наименование объекта: </v>
      </c>
      <c r="B451" s="376"/>
      <c r="C451" s="376"/>
      <c r="D451" s="376"/>
      <c r="I451" s="58" t="str">
        <f>A451</f>
        <v xml:space="preserve">Наименование объекта: </v>
      </c>
      <c r="J451" s="362" t="str">
        <f t="shared" si="106"/>
        <v>Пустая строка (убрать галочку)</v>
      </c>
    </row>
    <row r="452" spans="1:10" hidden="1">
      <c r="A452" s="30"/>
      <c r="B452" s="25"/>
      <c r="C452" s="25"/>
      <c r="D452" s="25"/>
      <c r="J452" s="362" t="str">
        <f t="shared" si="106"/>
        <v>Пустая строка (убрать галочку)</v>
      </c>
    </row>
    <row r="453" spans="1:10" hidden="1">
      <c r="A453" s="29" t="s">
        <v>111</v>
      </c>
      <c r="B453" s="22"/>
      <c r="C453" s="22"/>
      <c r="D453" s="22"/>
      <c r="J453" s="362" t="str">
        <f t="shared" si="106"/>
        <v>Пустая строка (убрать галочку)</v>
      </c>
    </row>
    <row r="454" spans="1:10" hidden="1">
      <c r="A454" s="383" t="s">
        <v>112</v>
      </c>
      <c r="B454" s="383"/>
      <c r="C454" s="383"/>
      <c r="D454" s="383"/>
      <c r="J454" s="362" t="str">
        <f t="shared" si="106"/>
        <v>Пустая строка (убрать галочку)</v>
      </c>
    </row>
    <row r="455" spans="1:10" ht="47.25" hidden="1">
      <c r="A455" s="63" t="s">
        <v>67</v>
      </c>
      <c r="B455" s="63" t="s">
        <v>98</v>
      </c>
      <c r="C455" s="377" t="str">
        <f>CONCATENATE("Стоимость  согласно сметной документации (руб.) в текущих ценах по состоянию на ",VLOOKUP($F$22,таблица,5,0)," г.")</f>
        <v>Стоимость  согласно сметной документации (руб.) в текущих ценах по состоянию на  г.</v>
      </c>
      <c r="D455" s="378"/>
      <c r="H455" s="44" t="str">
        <f>C455</f>
        <v>Стоимость  согласно сметной документации (руб.) в текущих ценах по состоянию на  г.</v>
      </c>
      <c r="J455" s="362" t="str">
        <f t="shared" si="106"/>
        <v>Пустая строка (убрать галочку)</v>
      </c>
    </row>
    <row r="456" spans="1:10" hidden="1">
      <c r="A456" s="33">
        <v>1</v>
      </c>
      <c r="B456" s="32" t="s">
        <v>46</v>
      </c>
      <c r="C456" s="379">
        <f>VLOOKUP($F$22,таблица,10,0)</f>
        <v>0</v>
      </c>
      <c r="D456" s="380"/>
      <c r="J456" s="362" t="str">
        <f t="shared" si="106"/>
        <v>Пустая строка (убрать галочку)</v>
      </c>
    </row>
    <row r="457" spans="1:10" hidden="1">
      <c r="A457" s="33">
        <v>2</v>
      </c>
      <c r="B457" s="32" t="s">
        <v>41</v>
      </c>
      <c r="C457" s="379">
        <f>VLOOKUP($F$22,таблица,11,0)</f>
        <v>0</v>
      </c>
      <c r="D457" s="380"/>
      <c r="J457" s="362" t="str">
        <f t="shared" si="106"/>
        <v>Пустая строка (убрать галочку)</v>
      </c>
    </row>
    <row r="458" spans="1:10" ht="31.5" hidden="1">
      <c r="A458" s="33">
        <v>3</v>
      </c>
      <c r="B458" s="32" t="s">
        <v>3</v>
      </c>
      <c r="C458" s="379">
        <f>VLOOKUP($F$22,таблица,12,0)</f>
        <v>0</v>
      </c>
      <c r="D458" s="380"/>
      <c r="J458" s="362" t="str">
        <f t="shared" si="106"/>
        <v>Пустая строка (убрать галочку)</v>
      </c>
    </row>
    <row r="459" spans="1:10" hidden="1">
      <c r="A459" s="33">
        <v>4</v>
      </c>
      <c r="B459" s="32" t="s">
        <v>42</v>
      </c>
      <c r="C459" s="379">
        <f>VLOOKUP($F$22,таблица,13,0)</f>
        <v>0</v>
      </c>
      <c r="D459" s="380"/>
      <c r="J459" s="362" t="str">
        <f t="shared" si="106"/>
        <v>Пустая строка (убрать галочку)</v>
      </c>
    </row>
    <row r="460" spans="1:10" hidden="1">
      <c r="A460" s="33">
        <v>5</v>
      </c>
      <c r="B460" s="32" t="s">
        <v>5</v>
      </c>
      <c r="C460" s="379">
        <f>VLOOKUP($F$22,таблица,14,0)</f>
        <v>0</v>
      </c>
      <c r="D460" s="380"/>
      <c r="J460" s="362" t="str">
        <f t="shared" si="106"/>
        <v>Пустая строка (убрать галочку)</v>
      </c>
    </row>
    <row r="461" spans="1:10" hidden="1">
      <c r="A461" s="33">
        <v>6</v>
      </c>
      <c r="B461" s="32" t="s">
        <v>12</v>
      </c>
      <c r="C461" s="379">
        <f>VLOOKUP($F$22,таблица,18,0)</f>
        <v>0</v>
      </c>
      <c r="D461" s="380"/>
      <c r="J461" s="362" t="str">
        <f t="shared" si="106"/>
        <v>Пустая строка (убрать галочку)</v>
      </c>
    </row>
    <row r="462" spans="1:10" hidden="1">
      <c r="A462" s="33">
        <v>7</v>
      </c>
      <c r="B462" s="32" t="s">
        <v>88</v>
      </c>
      <c r="C462" s="379">
        <f>VLOOKUP($F$22,таблица,19,0)+VLOOKUP($F$22,таблица,21,0)+VLOOKUP($F$22,таблица,22,0)+VLOOKUP($F$22,таблица,23,0)+VLOOKUP($F$22,таблица,24,0)+VLOOKUP($F$22,таблица,25,0)+VLOOKUP($F$22,таблица,26,0)</f>
        <v>0</v>
      </c>
      <c r="D462" s="380"/>
      <c r="J462" s="362" t="str">
        <f t="shared" si="106"/>
        <v>Пустая строка (убрать галочку)</v>
      </c>
    </row>
    <row r="463" spans="1:10" hidden="1">
      <c r="A463" s="33">
        <v>8</v>
      </c>
      <c r="B463" s="32" t="s">
        <v>62</v>
      </c>
      <c r="C463" s="379">
        <f>VLOOKUP($F$22,таблица,31,0)</f>
        <v>0</v>
      </c>
      <c r="D463" s="380"/>
      <c r="J463" s="362" t="str">
        <f t="shared" si="106"/>
        <v>Пустая строка (убрать галочку)</v>
      </c>
    </row>
    <row r="464" spans="1:10" hidden="1">
      <c r="A464" s="33">
        <v>9</v>
      </c>
      <c r="B464" s="32" t="s">
        <v>127</v>
      </c>
      <c r="C464" s="379">
        <f>SUM(C456:D463)</f>
        <v>0</v>
      </c>
      <c r="D464" s="380"/>
      <c r="J464" s="362" t="str">
        <f t="shared" si="106"/>
        <v>Пустая строка (убрать галочку)</v>
      </c>
    </row>
    <row r="465" spans="1:10" hidden="1">
      <c r="A465" s="384" t="s">
        <v>122</v>
      </c>
      <c r="B465" s="384"/>
      <c r="C465" s="384"/>
      <c r="D465" s="384"/>
      <c r="J465" s="362" t="str">
        <f t="shared" si="106"/>
        <v>Пустая строка (убрать галочку)</v>
      </c>
    </row>
    <row r="466" spans="1:10" ht="31.5" hidden="1">
      <c r="A466" s="35" t="s">
        <v>67</v>
      </c>
      <c r="B466" s="63" t="s">
        <v>21</v>
      </c>
      <c r="C466" s="63" t="s">
        <v>114</v>
      </c>
      <c r="D466" s="63" t="s">
        <v>99</v>
      </c>
      <c r="J466" s="362" t="str">
        <f t="shared" si="106"/>
        <v>Пустая строка (убрать галочку)</v>
      </c>
    </row>
    <row r="467" spans="1:10" hidden="1">
      <c r="A467" s="33">
        <v>10</v>
      </c>
      <c r="B467" s="33" t="e">
        <f>VLOOKUP((VLOOKUP($F$22,таблица,8,0)),рем_содер,2,0)</f>
        <v>#N/A</v>
      </c>
      <c r="C467" s="33"/>
      <c r="D467" s="32"/>
      <c r="J467" s="362" t="str">
        <f t="shared" si="106"/>
        <v>Пустая строка (убрать галочку)</v>
      </c>
    </row>
    <row r="468" spans="1:10" hidden="1">
      <c r="A468" s="33">
        <f>IF(D468=0,0,A467+1)</f>
        <v>0</v>
      </c>
      <c r="B468" s="32" t="e">
        <f>CONCATENATE('Анализ стоимости'!$AW$1," г (",CHOOSE(VLOOKUP(F$22,таблица,43,0),"Январь","Февраль","Март","Апрель","Май","Июнь","Июль","Август","Сентябрь","Октябрь","Ноябрь","Декабрь")," - ",CHOOSE(VLOOKUP(F$22,таблица,44,0),"Январь","Февраль","Март","Апрель","Май","Июнь","Июль","Август","Сентябрь","Октябрь","Ноябрь","Декабрь"),")")</f>
        <v>#VALUE!</v>
      </c>
      <c r="C468" s="33" t="s">
        <v>115</v>
      </c>
      <c r="D468" s="55">
        <f>IF(D470=0,0,VLOOKUP($F$22,таблица,49,0)*100+100)</f>
        <v>0</v>
      </c>
      <c r="J468" s="362" t="str">
        <f>IF(D468=0,"Пустая строка (убрать галочку)",1)</f>
        <v>Пустая строка (убрать галочку)</v>
      </c>
    </row>
    <row r="469" spans="1:10" hidden="1">
      <c r="A469" s="33">
        <f>IF(D469=0,0,IF(D468=0,A467+1,A468+1))</f>
        <v>0</v>
      </c>
      <c r="B469" s="32" t="e">
        <f>CONCATENATE('Анализ стоимости'!$AX$1," г (",CHOOSE(VLOOKUP(F$22,таблица,45,0),"Январь","Февраль","Март","Апрель","Май","Июнь","Июль","Август","Сентябрь","Октябрь","Ноябрь","Декабрь")," - ",CHOOSE(VLOOKUP(F$22,таблица,46,0),"Январь","Февраль","Март","Апрель","Май","Июнь","Июль","Август","Сентябрь","Октябрь","Ноябрь","Декабрь"),")")</f>
        <v>#VALUE!</v>
      </c>
      <c r="C469" s="33" t="s">
        <v>115</v>
      </c>
      <c r="D469" s="55">
        <f>IF(D471=0,0,VLOOKUP($F$22,таблица,50,0)*100+100)</f>
        <v>0</v>
      </c>
      <c r="J469" s="362" t="str">
        <f>IF(D469=0,"Пустая строка (убрать галочку)",1)</f>
        <v>Пустая строка (убрать галочку)</v>
      </c>
    </row>
    <row r="470" spans="1:10" hidden="1">
      <c r="A470" s="33">
        <f>IF(D470=0,0,IF(D469=0,A468+1,A469+1))</f>
        <v>0</v>
      </c>
      <c r="B470" s="32" t="str">
        <f>"Рост стоимости "&amp;'Анализ стоимости'!$AW$1&amp;" г."</f>
        <v>Рост стоимости 2018 г.</v>
      </c>
      <c r="C470" s="33" t="s">
        <v>116</v>
      </c>
      <c r="D470" s="34">
        <f>VLOOKUP($F$22,таблица,38,0)</f>
        <v>0</v>
      </c>
      <c r="J470" s="362" t="str">
        <f>IF(D470=0,"Пустая строка (убрать галочку)",1)</f>
        <v>Пустая строка (убрать галочку)</v>
      </c>
    </row>
    <row r="471" spans="1:10" hidden="1">
      <c r="A471" s="33">
        <f>IF(D471=0,0,IF(D470=0,A469+1,A470+1))</f>
        <v>0</v>
      </c>
      <c r="B471" s="32" t="str">
        <f>"Рост стоимости "&amp;'Анализ стоимости'!$AX$1&amp;" г."</f>
        <v>Рост стоимости 2019 г.</v>
      </c>
      <c r="C471" s="33" t="s">
        <v>116</v>
      </c>
      <c r="D471" s="34">
        <f>VLOOKUP($F$22,таблица,40,0)</f>
        <v>0</v>
      </c>
      <c r="J471" s="362" t="str">
        <f>IF(D471=0,"Пустая строка (убрать галочку)",1)</f>
        <v>Пустая строка (убрать галочку)</v>
      </c>
    </row>
    <row r="472" spans="1:10" hidden="1">
      <c r="A472" s="384" t="s">
        <v>117</v>
      </c>
      <c r="B472" s="384"/>
      <c r="C472" s="384"/>
      <c r="D472" s="384"/>
      <c r="J472" s="362" t="str">
        <f>IF($F$22=0,"Пустая строка (убрать галочку)",1)</f>
        <v>Пустая строка (убрать галочку)</v>
      </c>
    </row>
    <row r="473" spans="1:10" ht="31.5" hidden="1">
      <c r="A473" s="33">
        <f>IF(D473=0,0,IF(D471=0,IF(D470=0,A467+1,A470+1),A471+1))</f>
        <v>0</v>
      </c>
      <c r="B47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473" s="33" t="s">
        <v>116</v>
      </c>
      <c r="D473" s="34">
        <f>SUM(VLOOKUP($F$22,таблица,37,0),D470)</f>
        <v>0</v>
      </c>
      <c r="E473" s="7"/>
      <c r="J473" s="362" t="str">
        <f t="shared" ref="J473:J479" si="107">IF(D473=0,"Пустая строка (убрать галочку)",1)</f>
        <v>Пустая строка (убрать галочку)</v>
      </c>
    </row>
    <row r="474" spans="1:10" hidden="1">
      <c r="A474" s="33">
        <f>IF(D474=0,0,A473+1)</f>
        <v>0</v>
      </c>
      <c r="B474" s="45" t="s">
        <v>119</v>
      </c>
      <c r="C474" s="33" t="s">
        <v>116</v>
      </c>
      <c r="D474" s="34">
        <f>VLOOKUP($F$22,таблица,39,0)</f>
        <v>0</v>
      </c>
      <c r="E474" s="7"/>
      <c r="J474" s="362" t="str">
        <f t="shared" si="107"/>
        <v>Пустая строка (убрать галочку)</v>
      </c>
    </row>
    <row r="475" spans="1:10" hidden="1">
      <c r="A475" s="33">
        <f>IF(D475=0,0,A474+1)</f>
        <v>0</v>
      </c>
      <c r="B475" s="45" t="str">
        <f>"Всего с НДС на "&amp;'Анализ стоимости'!$AW$1&amp;" г."</f>
        <v>Всего с НДС на 2018 г.</v>
      </c>
      <c r="C475" s="33" t="s">
        <v>116</v>
      </c>
      <c r="D475" s="46">
        <f>SUM(D473:D474)</f>
        <v>0</v>
      </c>
      <c r="E475" s="56">
        <f>VLOOKUP($F$22,таблица,51,0)</f>
        <v>0</v>
      </c>
      <c r="J475" s="362" t="str">
        <f t="shared" si="107"/>
        <v>Пустая строка (убрать галочку)</v>
      </c>
    </row>
    <row r="476" spans="1:10" ht="31.5" hidden="1">
      <c r="A476" s="33">
        <f>IF(D476=0,0,IF(D475=0,IF(D471=0,A467+1,A471+1),A475+1))</f>
        <v>0</v>
      </c>
      <c r="B47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476" s="33" t="s">
        <v>116</v>
      </c>
      <c r="D476" s="34">
        <f>VLOOKUP($F$22,таблица,36,0)-VLOOKUP($F$22,таблица,37,0)+D471</f>
        <v>0</v>
      </c>
      <c r="J476" s="362" t="str">
        <f t="shared" si="107"/>
        <v>Пустая строка (убрать галочку)</v>
      </c>
    </row>
    <row r="477" spans="1:10" hidden="1">
      <c r="A477" s="33">
        <f>IF(D477=0,0,A476+1)</f>
        <v>0</v>
      </c>
      <c r="B477" s="45" t="s">
        <v>119</v>
      </c>
      <c r="C477" s="33" t="s">
        <v>116</v>
      </c>
      <c r="D477" s="34">
        <f>VLOOKUP($F$22,таблица,41,0)</f>
        <v>0</v>
      </c>
      <c r="J477" s="362" t="str">
        <f t="shared" si="107"/>
        <v>Пустая строка (убрать галочку)</v>
      </c>
    </row>
    <row r="478" spans="1:10" hidden="1">
      <c r="A478" s="33">
        <f>IF(D478=0,0,A477+1)</f>
        <v>0</v>
      </c>
      <c r="B478" s="45" t="str">
        <f>"Всего с НДС на "&amp;'Анализ стоимости'!$AX$1&amp;" г."</f>
        <v>Всего с НДС на 2019 г.</v>
      </c>
      <c r="C478" s="33" t="s">
        <v>116</v>
      </c>
      <c r="D478" s="46">
        <f>SUM(D476:D477)</f>
        <v>0</v>
      </c>
      <c r="E478" s="56">
        <f>VLOOKUP($F$22,таблица,52,0)</f>
        <v>0</v>
      </c>
      <c r="J478" s="362" t="str">
        <f t="shared" si="107"/>
        <v>Пустая строка (убрать галочку)</v>
      </c>
    </row>
    <row r="479" spans="1:10" hidden="1">
      <c r="A479" s="33">
        <f>IF(D479=0,0,A478+1)</f>
        <v>0</v>
      </c>
      <c r="B479" s="45" t="s">
        <v>118</v>
      </c>
      <c r="C479" s="33" t="s">
        <v>116</v>
      </c>
      <c r="D479" s="46">
        <f>IF(OR(D475=0,D478=0),0,D478+D475)</f>
        <v>0</v>
      </c>
      <c r="E479" s="56">
        <f>VLOOKUP($F$22,таблица,42,0)</f>
        <v>0</v>
      </c>
      <c r="J479" s="362" t="str">
        <f t="shared" si="107"/>
        <v>Пустая строка (убрать галочку)</v>
      </c>
    </row>
    <row r="480" spans="1:10" hidden="1">
      <c r="A480" s="13"/>
      <c r="B480" s="13"/>
      <c r="C480" s="13"/>
      <c r="D480" s="14"/>
      <c r="J480" s="362" t="str">
        <f>IF($F$22=0,"Пустая строка (убрать галочку)",1)</f>
        <v>Пустая строка (убрать галочку)</v>
      </c>
    </row>
    <row r="481" spans="1:10" ht="47.25" hidden="1" customHeight="1">
      <c r="A48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481" s="382"/>
      <c r="C481" s="61"/>
      <c r="D481" s="48" t="str">
        <f>'Анализ стоимости'!$I$101</f>
        <v>Шестопал О.Н.</v>
      </c>
      <c r="G481" s="43" t="str">
        <f>A481</f>
        <v>Специалист администрации Старонижестеблиевского сельского поселения Красноармейского района</v>
      </c>
      <c r="J481" s="362" t="str">
        <f>IF($F$22=0,"Пустая строка (убрать галочку)",1)</f>
        <v>Пустая строка (убрать галочку)</v>
      </c>
    </row>
    <row r="482" spans="1:10" hidden="1">
      <c r="A482" s="49"/>
      <c r="B482" s="49"/>
      <c r="C482" s="49"/>
      <c r="D482" s="50"/>
      <c r="J482" s="362" t="str">
        <f>IF($F$22=0,"Пустая строка (убрать галочку)",1)</f>
        <v>Пустая строка (убрать галочку)</v>
      </c>
    </row>
    <row r="483" spans="1:10" hidden="1">
      <c r="A483" s="375"/>
      <c r="B483" s="375"/>
      <c r="C483" s="3"/>
      <c r="D483" s="3"/>
      <c r="J483" s="362" t="str">
        <f>IF($F$22=0,"Пустая строка (убрать галочку)",1)</f>
        <v>Пустая строка (убрать галочку)</v>
      </c>
    </row>
    <row r="484" spans="1:10" hidden="1">
      <c r="A484" s="385" t="s">
        <v>141</v>
      </c>
      <c r="B484" s="385"/>
      <c r="C484" s="385"/>
      <c r="D484" s="385"/>
      <c r="G484" s="37"/>
      <c r="H484" s="37"/>
      <c r="J484" s="362" t="str">
        <f t="shared" ref="J484:J501" si="108">IF($F$23=0,"Пустая строка (убрать галочку)",1)</f>
        <v>Пустая строка (убрать галочку)</v>
      </c>
    </row>
    <row r="485" spans="1:10" ht="47.25" hidden="1" customHeight="1">
      <c r="A485" s="376" t="str">
        <f>CONCATENATE("Наименование объекта: ",VLOOKUP($F$23,таблица,9,0))</f>
        <v xml:space="preserve">Наименование объекта: </v>
      </c>
      <c r="B485" s="376"/>
      <c r="C485" s="376"/>
      <c r="D485" s="376"/>
      <c r="I485" s="58" t="str">
        <f>A485</f>
        <v xml:space="preserve">Наименование объекта: </v>
      </c>
      <c r="J485" s="362" t="str">
        <f t="shared" si="108"/>
        <v>Пустая строка (убрать галочку)</v>
      </c>
    </row>
    <row r="486" spans="1:10" hidden="1">
      <c r="A486" s="30"/>
      <c r="B486" s="25"/>
      <c r="C486" s="25"/>
      <c r="D486" s="25"/>
      <c r="J486" s="362" t="str">
        <f t="shared" si="108"/>
        <v>Пустая строка (убрать галочку)</v>
      </c>
    </row>
    <row r="487" spans="1:10" hidden="1">
      <c r="A487" s="29" t="s">
        <v>111</v>
      </c>
      <c r="B487" s="22"/>
      <c r="C487" s="22"/>
      <c r="D487" s="22"/>
      <c r="J487" s="362" t="str">
        <f t="shared" si="108"/>
        <v>Пустая строка (убрать галочку)</v>
      </c>
    </row>
    <row r="488" spans="1:10" hidden="1">
      <c r="A488" s="383" t="s">
        <v>112</v>
      </c>
      <c r="B488" s="383"/>
      <c r="C488" s="383"/>
      <c r="D488" s="383"/>
      <c r="J488" s="362" t="str">
        <f t="shared" si="108"/>
        <v>Пустая строка (убрать галочку)</v>
      </c>
    </row>
    <row r="489" spans="1:10" ht="47.25" hidden="1">
      <c r="A489" s="63" t="s">
        <v>67</v>
      </c>
      <c r="B489" s="63" t="s">
        <v>98</v>
      </c>
      <c r="C489" s="377" t="str">
        <f>CONCATENATE("Стоимость  согласно сметной документации (руб.) в текущих ценах по состоянию на ",VLOOKUP($F$23,таблица,5,0)," г.")</f>
        <v>Стоимость  согласно сметной документации (руб.) в текущих ценах по состоянию на  г.</v>
      </c>
      <c r="D489" s="378"/>
      <c r="H489" s="44" t="str">
        <f>C489</f>
        <v>Стоимость  согласно сметной документации (руб.) в текущих ценах по состоянию на  г.</v>
      </c>
      <c r="J489" s="362" t="str">
        <f t="shared" si="108"/>
        <v>Пустая строка (убрать галочку)</v>
      </c>
    </row>
    <row r="490" spans="1:10" hidden="1">
      <c r="A490" s="33">
        <v>1</v>
      </c>
      <c r="B490" s="32" t="s">
        <v>46</v>
      </c>
      <c r="C490" s="379">
        <f>VLOOKUP($F$23,таблица,10,0)</f>
        <v>0</v>
      </c>
      <c r="D490" s="380"/>
      <c r="J490" s="362" t="str">
        <f t="shared" si="108"/>
        <v>Пустая строка (убрать галочку)</v>
      </c>
    </row>
    <row r="491" spans="1:10" hidden="1">
      <c r="A491" s="33">
        <v>2</v>
      </c>
      <c r="B491" s="32" t="s">
        <v>41</v>
      </c>
      <c r="C491" s="379">
        <f>VLOOKUP($F$23,таблица,11,0)</f>
        <v>0</v>
      </c>
      <c r="D491" s="380"/>
      <c r="J491" s="362" t="str">
        <f t="shared" si="108"/>
        <v>Пустая строка (убрать галочку)</v>
      </c>
    </row>
    <row r="492" spans="1:10" ht="31.5" hidden="1">
      <c r="A492" s="33">
        <v>3</v>
      </c>
      <c r="B492" s="32" t="s">
        <v>3</v>
      </c>
      <c r="C492" s="379">
        <f>VLOOKUP($F$23,таблица,12,0)</f>
        <v>0</v>
      </c>
      <c r="D492" s="380"/>
      <c r="J492" s="362" t="str">
        <f t="shared" si="108"/>
        <v>Пустая строка (убрать галочку)</v>
      </c>
    </row>
    <row r="493" spans="1:10" hidden="1">
      <c r="A493" s="33">
        <v>4</v>
      </c>
      <c r="B493" s="32" t="s">
        <v>42</v>
      </c>
      <c r="C493" s="379">
        <f>VLOOKUP($F$23,таблица,13,0)</f>
        <v>0</v>
      </c>
      <c r="D493" s="380"/>
      <c r="J493" s="362" t="str">
        <f t="shared" si="108"/>
        <v>Пустая строка (убрать галочку)</v>
      </c>
    </row>
    <row r="494" spans="1:10" hidden="1">
      <c r="A494" s="33">
        <v>5</v>
      </c>
      <c r="B494" s="32" t="s">
        <v>5</v>
      </c>
      <c r="C494" s="379">
        <f>VLOOKUP($F$23,таблица,14,0)</f>
        <v>0</v>
      </c>
      <c r="D494" s="380"/>
      <c r="J494" s="362" t="str">
        <f t="shared" si="108"/>
        <v>Пустая строка (убрать галочку)</v>
      </c>
    </row>
    <row r="495" spans="1:10" hidden="1">
      <c r="A495" s="33">
        <v>6</v>
      </c>
      <c r="B495" s="32" t="s">
        <v>12</v>
      </c>
      <c r="C495" s="379">
        <f>VLOOKUP($F$23,таблица,18,0)</f>
        <v>0</v>
      </c>
      <c r="D495" s="380"/>
      <c r="J495" s="362" t="str">
        <f t="shared" si="108"/>
        <v>Пустая строка (убрать галочку)</v>
      </c>
    </row>
    <row r="496" spans="1:10" hidden="1">
      <c r="A496" s="33">
        <v>7</v>
      </c>
      <c r="B496" s="32" t="s">
        <v>88</v>
      </c>
      <c r="C496" s="379">
        <f>VLOOKUP($F$23,таблица,19,0)+VLOOKUP($F$23,таблица,21,0)+VLOOKUP($F$23,таблица,22,0)+VLOOKUP($F$23,таблица,23,0)+VLOOKUP($F$23,таблица,24,0)+VLOOKUP($F$23,таблица,25,0)+VLOOKUP($F$23,таблица,26,0)</f>
        <v>0</v>
      </c>
      <c r="D496" s="380"/>
      <c r="J496" s="362" t="str">
        <f t="shared" si="108"/>
        <v>Пустая строка (убрать галочку)</v>
      </c>
    </row>
    <row r="497" spans="1:10" hidden="1">
      <c r="A497" s="33">
        <v>8</v>
      </c>
      <c r="B497" s="32" t="s">
        <v>62</v>
      </c>
      <c r="C497" s="379">
        <f>VLOOKUP($F$23,таблица,31,0)</f>
        <v>0</v>
      </c>
      <c r="D497" s="380"/>
      <c r="J497" s="362" t="str">
        <f t="shared" si="108"/>
        <v>Пустая строка (убрать галочку)</v>
      </c>
    </row>
    <row r="498" spans="1:10" hidden="1">
      <c r="A498" s="33">
        <v>9</v>
      </c>
      <c r="B498" s="32" t="s">
        <v>127</v>
      </c>
      <c r="C498" s="379">
        <f>SUM(C490:D497)</f>
        <v>0</v>
      </c>
      <c r="D498" s="380"/>
      <c r="J498" s="362" t="str">
        <f t="shared" si="108"/>
        <v>Пустая строка (убрать галочку)</v>
      </c>
    </row>
    <row r="499" spans="1:10" hidden="1">
      <c r="A499" s="384" t="s">
        <v>122</v>
      </c>
      <c r="B499" s="384"/>
      <c r="C499" s="384"/>
      <c r="D499" s="384"/>
      <c r="J499" s="362" t="str">
        <f t="shared" si="108"/>
        <v>Пустая строка (убрать галочку)</v>
      </c>
    </row>
    <row r="500" spans="1:10" ht="31.5" hidden="1">
      <c r="A500" s="35" t="s">
        <v>67</v>
      </c>
      <c r="B500" s="63" t="s">
        <v>21</v>
      </c>
      <c r="C500" s="63" t="s">
        <v>114</v>
      </c>
      <c r="D500" s="63" t="s">
        <v>99</v>
      </c>
      <c r="J500" s="362" t="str">
        <f t="shared" si="108"/>
        <v>Пустая строка (убрать галочку)</v>
      </c>
    </row>
    <row r="501" spans="1:10" hidden="1">
      <c r="A501" s="33">
        <v>10</v>
      </c>
      <c r="B501" s="33" t="e">
        <f>VLOOKUP((VLOOKUP($F$23,таблица,8,0)),рем_содер,2,0)</f>
        <v>#N/A</v>
      </c>
      <c r="C501" s="33"/>
      <c r="D501" s="32"/>
      <c r="J501" s="362" t="str">
        <f t="shared" si="108"/>
        <v>Пустая строка (убрать галочку)</v>
      </c>
    </row>
    <row r="502" spans="1:10" hidden="1">
      <c r="A502" s="33">
        <f>IF(D502=0,0,A501+1)</f>
        <v>0</v>
      </c>
      <c r="B502" s="32" t="e">
        <f>CONCATENATE('Анализ стоимости'!$AW$1," г (",CHOOSE(VLOOKUP(F$23,таблица,43,0),"Январь","Февраль","Март","Апрель","Май","Июнь","Июль","Август","Сентябрь","Октябрь","Ноябрь","Декабрь")," - ",CHOOSE(VLOOKUP(F$23,таблица,44,0),"Январь","Февраль","Март","Апрель","Май","Июнь","Июль","Август","Сентябрь","Октябрь","Ноябрь","Декабрь"),")")</f>
        <v>#VALUE!</v>
      </c>
      <c r="C502" s="33" t="s">
        <v>115</v>
      </c>
      <c r="D502" s="55">
        <f>IF(D504=0,0,VLOOKUP($F$23,таблица,49,0)*100+100)</f>
        <v>0</v>
      </c>
      <c r="J502" s="362" t="str">
        <f>IF(D502=0,"Пустая строка (убрать галочку)",1)</f>
        <v>Пустая строка (убрать галочку)</v>
      </c>
    </row>
    <row r="503" spans="1:10" hidden="1">
      <c r="A503" s="33">
        <f>IF(D503=0,0,IF(D502=0,A501+1,A502+1))</f>
        <v>0</v>
      </c>
      <c r="B503" s="32" t="e">
        <f>CONCATENATE('Анализ стоимости'!$AX$1," г (",CHOOSE(VLOOKUP(F$23,таблица,45,0),"Январь","Февраль","Март","Апрель","Май","Июнь","Июль","Август","Сентябрь","Октябрь","Ноябрь","Декабрь")," - ",CHOOSE(VLOOKUP(F$23,таблица,46,0),"Январь","Февраль","Март","Апрель","Май","Июнь","Июль","Август","Сентябрь","Октябрь","Ноябрь","Декабрь"),")")</f>
        <v>#VALUE!</v>
      </c>
      <c r="C503" s="33" t="s">
        <v>115</v>
      </c>
      <c r="D503" s="55">
        <f>IF(D505=0,0,VLOOKUP($F$23,таблица,50,0)*100+100)</f>
        <v>0</v>
      </c>
      <c r="J503" s="362" t="str">
        <f>IF(D503=0,"Пустая строка (убрать галочку)",1)</f>
        <v>Пустая строка (убрать галочку)</v>
      </c>
    </row>
    <row r="504" spans="1:10" hidden="1">
      <c r="A504" s="33">
        <f>IF(D504=0,0,IF(D503=0,A502+1,A503+1))</f>
        <v>0</v>
      </c>
      <c r="B504" s="32" t="str">
        <f>"Рост стоимости "&amp;'Анализ стоимости'!$AW$1&amp;" г."</f>
        <v>Рост стоимости 2018 г.</v>
      </c>
      <c r="C504" s="33" t="s">
        <v>116</v>
      </c>
      <c r="D504" s="34">
        <f>VLOOKUP($F$23,таблица,38,0)</f>
        <v>0</v>
      </c>
      <c r="J504" s="362" t="str">
        <f>IF(D504=0,"Пустая строка (убрать галочку)",1)</f>
        <v>Пустая строка (убрать галочку)</v>
      </c>
    </row>
    <row r="505" spans="1:10" hidden="1">
      <c r="A505" s="33">
        <f>IF(D505=0,0,IF(D504=0,A503+1,A504+1))</f>
        <v>0</v>
      </c>
      <c r="B505" s="32" t="str">
        <f>"Рост стоимости "&amp;'Анализ стоимости'!$AX$1&amp;" г."</f>
        <v>Рост стоимости 2019 г.</v>
      </c>
      <c r="C505" s="33" t="s">
        <v>116</v>
      </c>
      <c r="D505" s="34">
        <f>VLOOKUP($F$23,таблица,40,0)</f>
        <v>0</v>
      </c>
      <c r="J505" s="362" t="str">
        <f>IF(D505=0,"Пустая строка (убрать галочку)",1)</f>
        <v>Пустая строка (убрать галочку)</v>
      </c>
    </row>
    <row r="506" spans="1:10" hidden="1">
      <c r="A506" s="384" t="s">
        <v>117</v>
      </c>
      <c r="B506" s="384"/>
      <c r="C506" s="384"/>
      <c r="D506" s="384"/>
      <c r="J506" s="362" t="str">
        <f>IF($F$23=0,"Пустая строка (убрать галочку)",1)</f>
        <v>Пустая строка (убрать галочку)</v>
      </c>
    </row>
    <row r="507" spans="1:10" ht="31.5" hidden="1">
      <c r="A507" s="33">
        <f>IF(D507=0,0,IF(D505=0,IF(D504=0,A501+1,A504+1),A505+1))</f>
        <v>0</v>
      </c>
      <c r="B50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507" s="33" t="s">
        <v>116</v>
      </c>
      <c r="D507" s="34">
        <f>SUM(VLOOKUP($F$23,таблица,37,0),D504)</f>
        <v>0</v>
      </c>
      <c r="E507" s="7"/>
      <c r="J507" s="362" t="str">
        <f t="shared" ref="J507:J513" si="109">IF(D507=0,"Пустая строка (убрать галочку)",1)</f>
        <v>Пустая строка (убрать галочку)</v>
      </c>
    </row>
    <row r="508" spans="1:10" hidden="1">
      <c r="A508" s="33">
        <f>IF(D508=0,0,A507+1)</f>
        <v>0</v>
      </c>
      <c r="B508" s="45" t="s">
        <v>119</v>
      </c>
      <c r="C508" s="33" t="s">
        <v>116</v>
      </c>
      <c r="D508" s="34">
        <f>VLOOKUP($F$23,таблица,39,0)</f>
        <v>0</v>
      </c>
      <c r="E508" s="7"/>
      <c r="J508" s="362" t="str">
        <f t="shared" si="109"/>
        <v>Пустая строка (убрать галочку)</v>
      </c>
    </row>
    <row r="509" spans="1:10" hidden="1">
      <c r="A509" s="33">
        <f>IF(D509=0,0,A508+1)</f>
        <v>0</v>
      </c>
      <c r="B509" s="45" t="str">
        <f>"Всего с НДС на "&amp;'Анализ стоимости'!$AW$1&amp;" г."</f>
        <v>Всего с НДС на 2018 г.</v>
      </c>
      <c r="C509" s="33" t="s">
        <v>116</v>
      </c>
      <c r="D509" s="46">
        <f>SUM(D507:D508)</f>
        <v>0</v>
      </c>
      <c r="E509" s="56">
        <f>VLOOKUP($F$23,таблица,51,0)</f>
        <v>0</v>
      </c>
      <c r="J509" s="362" t="str">
        <f t="shared" si="109"/>
        <v>Пустая строка (убрать галочку)</v>
      </c>
    </row>
    <row r="510" spans="1:10" ht="31.5" hidden="1">
      <c r="A510" s="33">
        <f>IF(D510=0,0,IF(D509=0,IF(D505=0,A501+1,A505+1),A509+1))</f>
        <v>0</v>
      </c>
      <c r="B51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510" s="33" t="s">
        <v>116</v>
      </c>
      <c r="D510" s="34">
        <f>VLOOKUP($F$23,таблица,36,0)-VLOOKUP($F$23,таблица,37,0)+D505</f>
        <v>0</v>
      </c>
      <c r="J510" s="362" t="str">
        <f t="shared" si="109"/>
        <v>Пустая строка (убрать галочку)</v>
      </c>
    </row>
    <row r="511" spans="1:10" hidden="1">
      <c r="A511" s="33">
        <f>IF(D511=0,0,A510+1)</f>
        <v>0</v>
      </c>
      <c r="B511" s="45" t="s">
        <v>119</v>
      </c>
      <c r="C511" s="33" t="s">
        <v>116</v>
      </c>
      <c r="D511" s="34">
        <f>VLOOKUP($F$23,таблица,41,0)</f>
        <v>0</v>
      </c>
      <c r="J511" s="362" t="str">
        <f t="shared" si="109"/>
        <v>Пустая строка (убрать галочку)</v>
      </c>
    </row>
    <row r="512" spans="1:10" hidden="1">
      <c r="A512" s="33">
        <f>IF(D512=0,0,A511+1)</f>
        <v>0</v>
      </c>
      <c r="B512" s="45" t="str">
        <f>"Всего с НДС на "&amp;'Анализ стоимости'!$AX$1&amp;" г."</f>
        <v>Всего с НДС на 2019 г.</v>
      </c>
      <c r="C512" s="33" t="s">
        <v>116</v>
      </c>
      <c r="D512" s="46">
        <f>SUM(D510:D511)</f>
        <v>0</v>
      </c>
      <c r="E512" s="56">
        <f>VLOOKUP($F$23,таблица,52,0)</f>
        <v>0</v>
      </c>
      <c r="J512" s="362" t="str">
        <f t="shared" si="109"/>
        <v>Пустая строка (убрать галочку)</v>
      </c>
    </row>
    <row r="513" spans="1:10" hidden="1">
      <c r="A513" s="33">
        <f>IF(D513=0,0,A512+1)</f>
        <v>0</v>
      </c>
      <c r="B513" s="45" t="s">
        <v>118</v>
      </c>
      <c r="C513" s="33" t="s">
        <v>116</v>
      </c>
      <c r="D513" s="46">
        <f>IF(OR(D509=0,D512=0),0,D512+D509)</f>
        <v>0</v>
      </c>
      <c r="E513" s="56">
        <f>VLOOKUP($F$23,таблица,42,0)</f>
        <v>0</v>
      </c>
      <c r="J513" s="362" t="str">
        <f t="shared" si="109"/>
        <v>Пустая строка (убрать галочку)</v>
      </c>
    </row>
    <row r="514" spans="1:10" hidden="1">
      <c r="A514" s="13"/>
      <c r="B514" s="13"/>
      <c r="C514" s="13"/>
      <c r="D514" s="14"/>
      <c r="J514" s="362" t="str">
        <f>IF($F$23=0,"Пустая строка (убрать галочку)",1)</f>
        <v>Пустая строка (убрать галочку)</v>
      </c>
    </row>
    <row r="515" spans="1:10" ht="47.25" hidden="1" customHeight="1">
      <c r="A51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515" s="382"/>
      <c r="C515" s="61"/>
      <c r="D515" s="48" t="str">
        <f>'Анализ стоимости'!$I$101</f>
        <v>Шестопал О.Н.</v>
      </c>
      <c r="G515" s="43" t="str">
        <f>A515</f>
        <v>Специалист администрации Старонижестеблиевского сельского поселения Красноармейского района</v>
      </c>
      <c r="J515" s="362" t="str">
        <f>IF($F$23=0,"Пустая строка (убрать галочку)",1)</f>
        <v>Пустая строка (убрать галочку)</v>
      </c>
    </row>
    <row r="516" spans="1:10" hidden="1">
      <c r="A516" s="49"/>
      <c r="B516" s="49"/>
      <c r="C516" s="49"/>
      <c r="D516" s="50"/>
      <c r="J516" s="362" t="str">
        <f>IF($F$23=0,"Пустая строка (убрать галочку)",1)</f>
        <v>Пустая строка (убрать галочку)</v>
      </c>
    </row>
    <row r="517" spans="1:10" hidden="1">
      <c r="A517" s="375"/>
      <c r="B517" s="375"/>
      <c r="C517" s="3"/>
      <c r="D517" s="3"/>
      <c r="J517" s="362" t="str">
        <f>IF($F$23=0,"Пустая строка (убрать галочку)",1)</f>
        <v>Пустая строка (убрать галочку)</v>
      </c>
    </row>
    <row r="518" spans="1:10" hidden="1">
      <c r="A518" s="385" t="s">
        <v>142</v>
      </c>
      <c r="B518" s="385"/>
      <c r="C518" s="385"/>
      <c r="D518" s="385"/>
      <c r="G518" s="37"/>
      <c r="H518" s="37"/>
      <c r="J518" s="362" t="str">
        <f t="shared" ref="J518:J535" si="110">IF($F$24=0,"Пустая строка (убрать галочку)",1)</f>
        <v>Пустая строка (убрать галочку)</v>
      </c>
    </row>
    <row r="519" spans="1:10" ht="47.25" hidden="1" customHeight="1">
      <c r="A519" s="376" t="str">
        <f>CONCATENATE("Наименование объекта: ",VLOOKUP($F$24,таблица,9,0))</f>
        <v xml:space="preserve">Наименование объекта: </v>
      </c>
      <c r="B519" s="376"/>
      <c r="C519" s="376"/>
      <c r="D519" s="376"/>
      <c r="I519" s="58" t="str">
        <f>A519</f>
        <v xml:space="preserve">Наименование объекта: </v>
      </c>
      <c r="J519" s="362" t="str">
        <f t="shared" si="110"/>
        <v>Пустая строка (убрать галочку)</v>
      </c>
    </row>
    <row r="520" spans="1:10" hidden="1">
      <c r="A520" s="30"/>
      <c r="B520" s="25"/>
      <c r="C520" s="25"/>
      <c r="D520" s="25"/>
      <c r="J520" s="362" t="str">
        <f t="shared" si="110"/>
        <v>Пустая строка (убрать галочку)</v>
      </c>
    </row>
    <row r="521" spans="1:10" hidden="1">
      <c r="A521" s="29" t="s">
        <v>111</v>
      </c>
      <c r="B521" s="22"/>
      <c r="C521" s="22"/>
      <c r="D521" s="22"/>
      <c r="J521" s="362" t="str">
        <f t="shared" si="110"/>
        <v>Пустая строка (убрать галочку)</v>
      </c>
    </row>
    <row r="522" spans="1:10" hidden="1">
      <c r="A522" s="383" t="s">
        <v>112</v>
      </c>
      <c r="B522" s="383"/>
      <c r="C522" s="383"/>
      <c r="D522" s="383"/>
      <c r="J522" s="362" t="str">
        <f t="shared" si="110"/>
        <v>Пустая строка (убрать галочку)</v>
      </c>
    </row>
    <row r="523" spans="1:10" ht="47.25" hidden="1">
      <c r="A523" s="63" t="s">
        <v>67</v>
      </c>
      <c r="B523" s="63" t="s">
        <v>98</v>
      </c>
      <c r="C523" s="377" t="str">
        <f>CONCATENATE("Стоимость  согласно сметной документации (руб.) в текущих ценах по состоянию на ",VLOOKUP($F$24,таблица,5,0)," г.")</f>
        <v>Стоимость  согласно сметной документации (руб.) в текущих ценах по состоянию на  г.</v>
      </c>
      <c r="D523" s="378"/>
      <c r="H523" s="44" t="str">
        <f>C523</f>
        <v>Стоимость  согласно сметной документации (руб.) в текущих ценах по состоянию на  г.</v>
      </c>
      <c r="J523" s="362" t="str">
        <f t="shared" si="110"/>
        <v>Пустая строка (убрать галочку)</v>
      </c>
    </row>
    <row r="524" spans="1:10" hidden="1">
      <c r="A524" s="33">
        <v>1</v>
      </c>
      <c r="B524" s="32" t="s">
        <v>46</v>
      </c>
      <c r="C524" s="379">
        <f>VLOOKUP($F$24,таблица,10,0)</f>
        <v>0</v>
      </c>
      <c r="D524" s="380"/>
      <c r="J524" s="362" t="str">
        <f t="shared" si="110"/>
        <v>Пустая строка (убрать галочку)</v>
      </c>
    </row>
    <row r="525" spans="1:10" hidden="1">
      <c r="A525" s="33">
        <v>2</v>
      </c>
      <c r="B525" s="32" t="s">
        <v>41</v>
      </c>
      <c r="C525" s="379">
        <f>VLOOKUP($F$24,таблица,11,0)</f>
        <v>0</v>
      </c>
      <c r="D525" s="380"/>
      <c r="J525" s="362" t="str">
        <f t="shared" si="110"/>
        <v>Пустая строка (убрать галочку)</v>
      </c>
    </row>
    <row r="526" spans="1:10" ht="31.5" hidden="1">
      <c r="A526" s="33">
        <v>3</v>
      </c>
      <c r="B526" s="32" t="s">
        <v>3</v>
      </c>
      <c r="C526" s="379">
        <f>VLOOKUP($F$24,таблица,12,0)</f>
        <v>0</v>
      </c>
      <c r="D526" s="380"/>
      <c r="J526" s="362" t="str">
        <f t="shared" si="110"/>
        <v>Пустая строка (убрать галочку)</v>
      </c>
    </row>
    <row r="527" spans="1:10" hidden="1">
      <c r="A527" s="33">
        <v>4</v>
      </c>
      <c r="B527" s="32" t="s">
        <v>42</v>
      </c>
      <c r="C527" s="379">
        <f>VLOOKUP($F$24,таблица,13,0)</f>
        <v>0</v>
      </c>
      <c r="D527" s="380"/>
      <c r="J527" s="362" t="str">
        <f t="shared" si="110"/>
        <v>Пустая строка (убрать галочку)</v>
      </c>
    </row>
    <row r="528" spans="1:10" hidden="1">
      <c r="A528" s="33">
        <v>5</v>
      </c>
      <c r="B528" s="32" t="s">
        <v>5</v>
      </c>
      <c r="C528" s="379">
        <f>VLOOKUP($F$24,таблица,14,0)</f>
        <v>0</v>
      </c>
      <c r="D528" s="380"/>
      <c r="J528" s="362" t="str">
        <f t="shared" si="110"/>
        <v>Пустая строка (убрать галочку)</v>
      </c>
    </row>
    <row r="529" spans="1:10" hidden="1">
      <c r="A529" s="33">
        <v>6</v>
      </c>
      <c r="B529" s="32" t="s">
        <v>12</v>
      </c>
      <c r="C529" s="379">
        <f>VLOOKUP($F$24,таблица,18,0)</f>
        <v>0</v>
      </c>
      <c r="D529" s="380"/>
      <c r="J529" s="362" t="str">
        <f t="shared" si="110"/>
        <v>Пустая строка (убрать галочку)</v>
      </c>
    </row>
    <row r="530" spans="1:10" hidden="1">
      <c r="A530" s="33">
        <v>7</v>
      </c>
      <c r="B530" s="32" t="s">
        <v>88</v>
      </c>
      <c r="C530" s="379">
        <f>VLOOKUP($F$24,таблица,19,0)+VLOOKUP($F$24,таблица,21,0)+VLOOKUP($F$24,таблица,22,0)+VLOOKUP($F$24,таблица,23,0)+VLOOKUP($F$24,таблица,24,0)+VLOOKUP($F$24,таблица,25,0)+VLOOKUP($F$24,таблица,26,0)</f>
        <v>0</v>
      </c>
      <c r="D530" s="380"/>
      <c r="J530" s="362" t="str">
        <f t="shared" si="110"/>
        <v>Пустая строка (убрать галочку)</v>
      </c>
    </row>
    <row r="531" spans="1:10" hidden="1">
      <c r="A531" s="33">
        <v>8</v>
      </c>
      <c r="B531" s="32" t="s">
        <v>62</v>
      </c>
      <c r="C531" s="379">
        <f>VLOOKUP($F$24,таблица,31,0)</f>
        <v>0</v>
      </c>
      <c r="D531" s="380"/>
      <c r="J531" s="362" t="str">
        <f t="shared" si="110"/>
        <v>Пустая строка (убрать галочку)</v>
      </c>
    </row>
    <row r="532" spans="1:10" hidden="1">
      <c r="A532" s="33">
        <v>9</v>
      </c>
      <c r="B532" s="32" t="s">
        <v>127</v>
      </c>
      <c r="C532" s="379">
        <f>SUM(C524:D531)</f>
        <v>0</v>
      </c>
      <c r="D532" s="380"/>
      <c r="J532" s="362" t="str">
        <f t="shared" si="110"/>
        <v>Пустая строка (убрать галочку)</v>
      </c>
    </row>
    <row r="533" spans="1:10" hidden="1">
      <c r="A533" s="384" t="s">
        <v>122</v>
      </c>
      <c r="B533" s="384"/>
      <c r="C533" s="384"/>
      <c r="D533" s="384"/>
      <c r="J533" s="362" t="str">
        <f t="shared" si="110"/>
        <v>Пустая строка (убрать галочку)</v>
      </c>
    </row>
    <row r="534" spans="1:10" ht="31.5" hidden="1">
      <c r="A534" s="35" t="s">
        <v>67</v>
      </c>
      <c r="B534" s="63" t="s">
        <v>21</v>
      </c>
      <c r="C534" s="63" t="s">
        <v>114</v>
      </c>
      <c r="D534" s="63" t="s">
        <v>99</v>
      </c>
      <c r="J534" s="362" t="str">
        <f t="shared" si="110"/>
        <v>Пустая строка (убрать галочку)</v>
      </c>
    </row>
    <row r="535" spans="1:10" hidden="1">
      <c r="A535" s="33">
        <v>10</v>
      </c>
      <c r="B535" s="33" t="e">
        <f>VLOOKUP((VLOOKUP($F$24,таблица,8,0)),рем_содер,2,0)</f>
        <v>#N/A</v>
      </c>
      <c r="C535" s="33"/>
      <c r="D535" s="32"/>
      <c r="J535" s="362" t="str">
        <f t="shared" si="110"/>
        <v>Пустая строка (убрать галочку)</v>
      </c>
    </row>
    <row r="536" spans="1:10" hidden="1">
      <c r="A536" s="33">
        <f>IF(D536=0,0,A535+1)</f>
        <v>0</v>
      </c>
      <c r="B536" s="32" t="e">
        <f>CONCATENATE('Анализ стоимости'!$AW$1," г (",CHOOSE(VLOOKUP($F$24,таблица,43,0),"Январь","Февраль","Март","Апрель","Май","Июнь","Июль","Август","Сентябрь","Октябрь","Ноябрь","Декабрь")," - ",CHOOSE(VLOOKUP($F$24,таблица,44,0),"Январь","Февраль","Март","Апрель","Май","Июнь","Июль","Август","Сентябрь","Октябрь","Ноябрь","Декабрь"),")")</f>
        <v>#VALUE!</v>
      </c>
      <c r="C536" s="33" t="s">
        <v>115</v>
      </c>
      <c r="D536" s="55">
        <f>IF(D538=0,0,VLOOKUP($F$24,таблица,49,0)*100+100)</f>
        <v>0</v>
      </c>
      <c r="J536" s="362" t="str">
        <f>IF(D536=0,"Пустая строка (убрать галочку)",1)</f>
        <v>Пустая строка (убрать галочку)</v>
      </c>
    </row>
    <row r="537" spans="1:10" hidden="1">
      <c r="A537" s="33">
        <f>IF(D537=0,0,IF(D536=0,A535+1,A536+1))</f>
        <v>0</v>
      </c>
      <c r="B537" s="32" t="e">
        <f>CONCATENATE('Анализ стоимости'!$AX$1," г (",CHOOSE(VLOOKUP($F$24,таблица,45,0),"Январь","Февраль","Март","Апрель","Май","Июнь","Июль","Август","Сентябрь","Октябрь","Ноябрь","Декабрь")," - ",CHOOSE(VLOOKUP($F$24,таблица,46,0),"Январь","Февраль","Март","Апрель","Май","Июнь","Июль","Август","Сентябрь","Октябрь","Ноябрь","Декабрь"),")")</f>
        <v>#VALUE!</v>
      </c>
      <c r="C537" s="33" t="s">
        <v>115</v>
      </c>
      <c r="D537" s="55">
        <f>IF(D539=0,0,VLOOKUP($F$24,таблица,50,0)*100+100)</f>
        <v>0</v>
      </c>
      <c r="J537" s="362" t="str">
        <f>IF(D537=0,"Пустая строка (убрать галочку)",1)</f>
        <v>Пустая строка (убрать галочку)</v>
      </c>
    </row>
    <row r="538" spans="1:10" hidden="1">
      <c r="A538" s="33">
        <f>IF(D538=0,0,IF(D537=0,A536+1,A537+1))</f>
        <v>0</v>
      </c>
      <c r="B538" s="32" t="str">
        <f>"Рост стоимости "&amp;'Анализ стоимости'!$AW$1&amp;" г."</f>
        <v>Рост стоимости 2018 г.</v>
      </c>
      <c r="C538" s="33" t="s">
        <v>116</v>
      </c>
      <c r="D538" s="34">
        <f>VLOOKUP($F$24,таблица,38,0)</f>
        <v>0</v>
      </c>
      <c r="J538" s="362" t="str">
        <f>IF(D538=0,"Пустая строка (убрать галочку)",1)</f>
        <v>Пустая строка (убрать галочку)</v>
      </c>
    </row>
    <row r="539" spans="1:10" hidden="1">
      <c r="A539" s="33">
        <f>IF(D539=0,0,IF(D538=0,A537+1,A538+1))</f>
        <v>0</v>
      </c>
      <c r="B539" s="32" t="str">
        <f>"Рост стоимости "&amp;'Анализ стоимости'!$AX$1&amp;" г."</f>
        <v>Рост стоимости 2019 г.</v>
      </c>
      <c r="C539" s="33" t="s">
        <v>116</v>
      </c>
      <c r="D539" s="34">
        <f>VLOOKUP($F$24,таблица,40,0)</f>
        <v>0</v>
      </c>
      <c r="J539" s="362" t="str">
        <f>IF(D539=0,"Пустая строка (убрать галочку)",1)</f>
        <v>Пустая строка (убрать галочку)</v>
      </c>
    </row>
    <row r="540" spans="1:10" hidden="1">
      <c r="A540" s="384" t="s">
        <v>117</v>
      </c>
      <c r="B540" s="384"/>
      <c r="C540" s="384"/>
      <c r="D540" s="384"/>
      <c r="J540" s="362" t="str">
        <f>IF($F$24=0,"Пустая строка (убрать галочку)",1)</f>
        <v>Пустая строка (убрать галочку)</v>
      </c>
    </row>
    <row r="541" spans="1:10" ht="31.5" hidden="1">
      <c r="A541" s="33">
        <f>IF(D541=0,0,IF(D539=0,IF(D538=0,A535+1,A538+1),A539+1))</f>
        <v>0</v>
      </c>
      <c r="B54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541" s="33" t="s">
        <v>116</v>
      </c>
      <c r="D541" s="34">
        <f>SUM(VLOOKUP($F$24,таблица,37,0),D538)</f>
        <v>0</v>
      </c>
      <c r="E541" s="7"/>
      <c r="J541" s="362" t="str">
        <f t="shared" ref="J541:J547" si="111">IF(D541=0,"Пустая строка (убрать галочку)",1)</f>
        <v>Пустая строка (убрать галочку)</v>
      </c>
    </row>
    <row r="542" spans="1:10" hidden="1">
      <c r="A542" s="33">
        <f>IF(D542=0,0,A541+1)</f>
        <v>0</v>
      </c>
      <c r="B542" s="45" t="s">
        <v>119</v>
      </c>
      <c r="C542" s="33" t="s">
        <v>116</v>
      </c>
      <c r="D542" s="34">
        <f>VLOOKUP($F$24,таблица,39,0)</f>
        <v>0</v>
      </c>
      <c r="E542" s="7"/>
      <c r="J542" s="362" t="str">
        <f t="shared" si="111"/>
        <v>Пустая строка (убрать галочку)</v>
      </c>
    </row>
    <row r="543" spans="1:10" hidden="1">
      <c r="A543" s="33">
        <f>IF(D543=0,0,A542+1)</f>
        <v>0</v>
      </c>
      <c r="B543" s="45" t="str">
        <f>"Всего с НДС на "&amp;'Анализ стоимости'!$AW$1&amp;" г."</f>
        <v>Всего с НДС на 2018 г.</v>
      </c>
      <c r="C543" s="33" t="s">
        <v>116</v>
      </c>
      <c r="D543" s="46">
        <f>SUM(D541:D542)</f>
        <v>0</v>
      </c>
      <c r="E543" s="56">
        <f>VLOOKUP($F$24,таблица,51,0)</f>
        <v>0</v>
      </c>
      <c r="J543" s="362" t="str">
        <f t="shared" si="111"/>
        <v>Пустая строка (убрать галочку)</v>
      </c>
    </row>
    <row r="544" spans="1:10" ht="31.5" hidden="1">
      <c r="A544" s="33">
        <f>IF(D544=0,0,IF(D543=0,IF(D539=0,A535+1,A539+1),A543+1))</f>
        <v>0</v>
      </c>
      <c r="B54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544" s="33" t="s">
        <v>116</v>
      </c>
      <c r="D544" s="34">
        <f>VLOOKUP($F$24,таблица,36,0)-VLOOKUP($F$24,таблица,37,0)+D539</f>
        <v>0</v>
      </c>
      <c r="J544" s="362" t="str">
        <f t="shared" si="111"/>
        <v>Пустая строка (убрать галочку)</v>
      </c>
    </row>
    <row r="545" spans="1:10" hidden="1">
      <c r="A545" s="33">
        <f>IF(D545=0,0,A544+1)</f>
        <v>0</v>
      </c>
      <c r="B545" s="45" t="s">
        <v>119</v>
      </c>
      <c r="C545" s="33" t="s">
        <v>116</v>
      </c>
      <c r="D545" s="34">
        <f>VLOOKUP($F$24,таблица,41,0)</f>
        <v>0</v>
      </c>
      <c r="J545" s="362" t="str">
        <f t="shared" si="111"/>
        <v>Пустая строка (убрать галочку)</v>
      </c>
    </row>
    <row r="546" spans="1:10" hidden="1">
      <c r="A546" s="33">
        <f>IF(D546=0,0,A545+1)</f>
        <v>0</v>
      </c>
      <c r="B546" s="45" t="str">
        <f>"Всего с НДС на "&amp;'Анализ стоимости'!$AX$1&amp;" г."</f>
        <v>Всего с НДС на 2019 г.</v>
      </c>
      <c r="C546" s="33" t="s">
        <v>116</v>
      </c>
      <c r="D546" s="46">
        <f>SUM(D544:D545)</f>
        <v>0</v>
      </c>
      <c r="E546" s="56">
        <f>VLOOKUP($F$24,таблица,52,0)</f>
        <v>0</v>
      </c>
      <c r="J546" s="362" t="str">
        <f t="shared" si="111"/>
        <v>Пустая строка (убрать галочку)</v>
      </c>
    </row>
    <row r="547" spans="1:10" hidden="1">
      <c r="A547" s="33">
        <f>IF(D547=0,0,A546+1)</f>
        <v>0</v>
      </c>
      <c r="B547" s="45" t="s">
        <v>118</v>
      </c>
      <c r="C547" s="33" t="s">
        <v>116</v>
      </c>
      <c r="D547" s="46">
        <f>IF(OR(D543=0,D546=0),0,D546+D543)</f>
        <v>0</v>
      </c>
      <c r="E547" s="56">
        <f>VLOOKUP($F$24,таблица,42,0)</f>
        <v>0</v>
      </c>
      <c r="J547" s="362" t="str">
        <f t="shared" si="111"/>
        <v>Пустая строка (убрать галочку)</v>
      </c>
    </row>
    <row r="548" spans="1:10" hidden="1">
      <c r="A548" s="13"/>
      <c r="B548" s="13"/>
      <c r="C548" s="13"/>
      <c r="D548" s="14"/>
      <c r="J548" s="362" t="str">
        <f>IF($F$24=0,"Пустая строка (убрать галочку)",1)</f>
        <v>Пустая строка (убрать галочку)</v>
      </c>
    </row>
    <row r="549" spans="1:10" ht="47.25" hidden="1" customHeight="1">
      <c r="A54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549" s="382"/>
      <c r="C549" s="61"/>
      <c r="D549" s="48" t="str">
        <f>'Анализ стоимости'!$I$101</f>
        <v>Шестопал О.Н.</v>
      </c>
      <c r="G549" s="43" t="str">
        <f>A549</f>
        <v>Специалист администрации Старонижестеблиевского сельского поселения Красноармейского района</v>
      </c>
      <c r="J549" s="362" t="str">
        <f>IF($F$24=0,"Пустая строка (убрать галочку)",1)</f>
        <v>Пустая строка (убрать галочку)</v>
      </c>
    </row>
    <row r="550" spans="1:10" hidden="1">
      <c r="A550" s="49"/>
      <c r="B550" s="49"/>
      <c r="C550" s="49"/>
      <c r="D550" s="50"/>
      <c r="J550" s="362" t="str">
        <f>IF($F$24=0,"Пустая строка (убрать галочку)",1)</f>
        <v>Пустая строка (убрать галочку)</v>
      </c>
    </row>
    <row r="551" spans="1:10" hidden="1">
      <c r="A551" s="375"/>
      <c r="B551" s="375"/>
      <c r="C551" s="3"/>
      <c r="D551" s="3"/>
      <c r="J551" s="362" t="str">
        <f>IF($F$24=0,"Пустая строка (убрать галочку)",1)</f>
        <v>Пустая строка (убрать галочку)</v>
      </c>
    </row>
    <row r="552" spans="1:10" hidden="1">
      <c r="A552" s="385" t="s">
        <v>143</v>
      </c>
      <c r="B552" s="385"/>
      <c r="C552" s="385"/>
      <c r="D552" s="385"/>
      <c r="G552" s="37"/>
      <c r="H552" s="37"/>
      <c r="J552" s="362" t="str">
        <f t="shared" ref="J552:J569" si="112">IF($F$25=0,"Пустая строка (убрать галочку)",1)</f>
        <v>Пустая строка (убрать галочку)</v>
      </c>
    </row>
    <row r="553" spans="1:10" ht="47.25" hidden="1" customHeight="1">
      <c r="A553" s="376" t="str">
        <f>CONCATENATE("Наименование объекта: ",VLOOKUP($F$25,таблица,9,0))</f>
        <v xml:space="preserve">Наименование объекта: </v>
      </c>
      <c r="B553" s="376"/>
      <c r="C553" s="376"/>
      <c r="D553" s="376"/>
      <c r="I553" s="58" t="str">
        <f>A553</f>
        <v xml:space="preserve">Наименование объекта: </v>
      </c>
      <c r="J553" s="362" t="str">
        <f t="shared" si="112"/>
        <v>Пустая строка (убрать галочку)</v>
      </c>
    </row>
    <row r="554" spans="1:10" hidden="1">
      <c r="A554" s="30"/>
      <c r="B554" s="25"/>
      <c r="C554" s="25"/>
      <c r="D554" s="25"/>
      <c r="J554" s="362" t="str">
        <f t="shared" si="112"/>
        <v>Пустая строка (убрать галочку)</v>
      </c>
    </row>
    <row r="555" spans="1:10" hidden="1">
      <c r="A555" s="29" t="s">
        <v>111</v>
      </c>
      <c r="B555" s="22"/>
      <c r="C555" s="22"/>
      <c r="D555" s="22"/>
      <c r="J555" s="362" t="str">
        <f t="shared" si="112"/>
        <v>Пустая строка (убрать галочку)</v>
      </c>
    </row>
    <row r="556" spans="1:10" hidden="1">
      <c r="A556" s="383" t="s">
        <v>112</v>
      </c>
      <c r="B556" s="383"/>
      <c r="C556" s="383"/>
      <c r="D556" s="383"/>
      <c r="J556" s="362" t="str">
        <f t="shared" si="112"/>
        <v>Пустая строка (убрать галочку)</v>
      </c>
    </row>
    <row r="557" spans="1:10" ht="47.25" hidden="1">
      <c r="A557" s="63" t="s">
        <v>67</v>
      </c>
      <c r="B557" s="63" t="s">
        <v>98</v>
      </c>
      <c r="C557" s="377" t="str">
        <f>CONCATENATE("Стоимость  согласно сметной документации (руб.) в текущих ценах по состоянию на ",VLOOKUP($F$25,таблица,5,0)," г.")</f>
        <v>Стоимость  согласно сметной документации (руб.) в текущих ценах по состоянию на  г.</v>
      </c>
      <c r="D557" s="378"/>
      <c r="H557" s="44" t="str">
        <f>C557</f>
        <v>Стоимость  согласно сметной документации (руб.) в текущих ценах по состоянию на  г.</v>
      </c>
      <c r="J557" s="362" t="str">
        <f t="shared" si="112"/>
        <v>Пустая строка (убрать галочку)</v>
      </c>
    </row>
    <row r="558" spans="1:10" hidden="1">
      <c r="A558" s="33">
        <v>1</v>
      </c>
      <c r="B558" s="32" t="s">
        <v>46</v>
      </c>
      <c r="C558" s="379">
        <f>VLOOKUP($F$25,таблица,10,0)</f>
        <v>0</v>
      </c>
      <c r="D558" s="380"/>
      <c r="J558" s="362" t="str">
        <f t="shared" si="112"/>
        <v>Пустая строка (убрать галочку)</v>
      </c>
    </row>
    <row r="559" spans="1:10" hidden="1">
      <c r="A559" s="33">
        <v>2</v>
      </c>
      <c r="B559" s="32" t="s">
        <v>41</v>
      </c>
      <c r="C559" s="379">
        <f>VLOOKUP($F$25,таблица,11,0)</f>
        <v>0</v>
      </c>
      <c r="D559" s="380"/>
      <c r="J559" s="362" t="str">
        <f t="shared" si="112"/>
        <v>Пустая строка (убрать галочку)</v>
      </c>
    </row>
    <row r="560" spans="1:10" ht="31.5" hidden="1">
      <c r="A560" s="33">
        <v>3</v>
      </c>
      <c r="B560" s="32" t="s">
        <v>3</v>
      </c>
      <c r="C560" s="379">
        <f>VLOOKUP($F$25,таблица,12,0)</f>
        <v>0</v>
      </c>
      <c r="D560" s="380"/>
      <c r="J560" s="362" t="str">
        <f t="shared" si="112"/>
        <v>Пустая строка (убрать галочку)</v>
      </c>
    </row>
    <row r="561" spans="1:10" hidden="1">
      <c r="A561" s="33">
        <v>4</v>
      </c>
      <c r="B561" s="32" t="s">
        <v>42</v>
      </c>
      <c r="C561" s="379">
        <f>VLOOKUP($F$25,таблица,13,0)</f>
        <v>0</v>
      </c>
      <c r="D561" s="380"/>
      <c r="J561" s="362" t="str">
        <f t="shared" si="112"/>
        <v>Пустая строка (убрать галочку)</v>
      </c>
    </row>
    <row r="562" spans="1:10" hidden="1">
      <c r="A562" s="33">
        <v>5</v>
      </c>
      <c r="B562" s="32" t="s">
        <v>5</v>
      </c>
      <c r="C562" s="379">
        <f>VLOOKUP($F$25,таблица,14,0)</f>
        <v>0</v>
      </c>
      <c r="D562" s="380"/>
      <c r="J562" s="362" t="str">
        <f t="shared" si="112"/>
        <v>Пустая строка (убрать галочку)</v>
      </c>
    </row>
    <row r="563" spans="1:10" hidden="1">
      <c r="A563" s="33">
        <v>6</v>
      </c>
      <c r="B563" s="32" t="s">
        <v>12</v>
      </c>
      <c r="C563" s="379">
        <f>VLOOKUP($F$25,таблица,18,0)</f>
        <v>0</v>
      </c>
      <c r="D563" s="380"/>
      <c r="J563" s="362" t="str">
        <f t="shared" si="112"/>
        <v>Пустая строка (убрать галочку)</v>
      </c>
    </row>
    <row r="564" spans="1:10" hidden="1">
      <c r="A564" s="33">
        <v>7</v>
      </c>
      <c r="B564" s="32" t="s">
        <v>88</v>
      </c>
      <c r="C564" s="379">
        <f>VLOOKUP($F$25,таблица,19,0)+VLOOKUP($F$25,таблица,21,0)+VLOOKUP($F$25,таблица,22,0)+VLOOKUP($F$25,таблица,23,0)+VLOOKUP($F$25,таблица,24,0)+VLOOKUP($F$25,таблица,25,0)+VLOOKUP($F$25,таблица,26,0)</f>
        <v>0</v>
      </c>
      <c r="D564" s="380"/>
      <c r="J564" s="362" t="str">
        <f t="shared" si="112"/>
        <v>Пустая строка (убрать галочку)</v>
      </c>
    </row>
    <row r="565" spans="1:10" hidden="1">
      <c r="A565" s="33">
        <v>8</v>
      </c>
      <c r="B565" s="32" t="s">
        <v>62</v>
      </c>
      <c r="C565" s="379">
        <f>VLOOKUP($F$25,таблица,31,0)</f>
        <v>0</v>
      </c>
      <c r="D565" s="380"/>
      <c r="J565" s="362" t="str">
        <f t="shared" si="112"/>
        <v>Пустая строка (убрать галочку)</v>
      </c>
    </row>
    <row r="566" spans="1:10" hidden="1">
      <c r="A566" s="33">
        <v>9</v>
      </c>
      <c r="B566" s="32" t="s">
        <v>127</v>
      </c>
      <c r="C566" s="379">
        <f>SUM(C558:D565)</f>
        <v>0</v>
      </c>
      <c r="D566" s="380"/>
      <c r="J566" s="362" t="str">
        <f t="shared" si="112"/>
        <v>Пустая строка (убрать галочку)</v>
      </c>
    </row>
    <row r="567" spans="1:10" hidden="1">
      <c r="A567" s="384" t="s">
        <v>122</v>
      </c>
      <c r="B567" s="384"/>
      <c r="C567" s="384"/>
      <c r="D567" s="384"/>
      <c r="J567" s="362" t="str">
        <f t="shared" si="112"/>
        <v>Пустая строка (убрать галочку)</v>
      </c>
    </row>
    <row r="568" spans="1:10" ht="31.5" hidden="1">
      <c r="A568" s="35" t="s">
        <v>67</v>
      </c>
      <c r="B568" s="63" t="s">
        <v>21</v>
      </c>
      <c r="C568" s="63" t="s">
        <v>114</v>
      </c>
      <c r="D568" s="63" t="s">
        <v>99</v>
      </c>
      <c r="J568" s="362" t="str">
        <f t="shared" si="112"/>
        <v>Пустая строка (убрать галочку)</v>
      </c>
    </row>
    <row r="569" spans="1:10" hidden="1">
      <c r="A569" s="33">
        <v>10</v>
      </c>
      <c r="B569" s="33" t="e">
        <f>VLOOKUP((VLOOKUP($F$25,таблица,8,0)),рем_содер,2,0)</f>
        <v>#N/A</v>
      </c>
      <c r="C569" s="33"/>
      <c r="D569" s="32"/>
      <c r="J569" s="362" t="str">
        <f t="shared" si="112"/>
        <v>Пустая строка (убрать галочку)</v>
      </c>
    </row>
    <row r="570" spans="1:10" hidden="1">
      <c r="A570" s="33">
        <f>IF(D570=0,0,A569+1)</f>
        <v>0</v>
      </c>
      <c r="B570" s="32" t="e">
        <f>CONCATENATE('Анализ стоимости'!$AW$1," г (",CHOOSE(VLOOKUP($F$25,таблица,43,0),"Январь","Февраль","Март","Апрель","Май","Июнь","Июль","Август","Сентябрь","Октябрь","Ноябрь","Декабрь")," - ",CHOOSE(VLOOKUP($F$25,таблица,44,0),"Январь","Февраль","Март","Апрель","Май","Июнь","Июль","Август","Сентябрь","Октябрь","Ноябрь","Декабрь"),")")</f>
        <v>#VALUE!</v>
      </c>
      <c r="C570" s="33" t="s">
        <v>115</v>
      </c>
      <c r="D570" s="55">
        <f>IF(D572=0,0,VLOOKUP($F$25,таблица,49,0)*100+100)</f>
        <v>0</v>
      </c>
      <c r="J570" s="362" t="str">
        <f>IF(D570=0,"Пустая строка (убрать галочку)",1)</f>
        <v>Пустая строка (убрать галочку)</v>
      </c>
    </row>
    <row r="571" spans="1:10" hidden="1">
      <c r="A571" s="33">
        <f>IF(D571=0,0,IF(D570=0,A569+1,A570+1))</f>
        <v>0</v>
      </c>
      <c r="B571" s="32" t="e">
        <f>CONCATENATE('Анализ стоимости'!$AX$1," г (",CHOOSE(VLOOKUP($F$25,таблица,45,0),"Январь","Февраль","Март","Апрель","Май","Июнь","Июль","Август","Сентябрь","Октябрь","Ноябрь","Декабрь")," - ",CHOOSE(VLOOKUP($F$25,таблица,46,0),"Январь","Февраль","Март","Апрель","Май","Июнь","Июль","Август","Сентябрь","Октябрь","Ноябрь","Декабрь"),")")</f>
        <v>#VALUE!</v>
      </c>
      <c r="C571" s="33" t="s">
        <v>115</v>
      </c>
      <c r="D571" s="55">
        <f>IF(D573=0,0,VLOOKUP($F$25,таблица,50,0)*100+100)</f>
        <v>0</v>
      </c>
      <c r="J571" s="362" t="str">
        <f>IF(D571=0,"Пустая строка (убрать галочку)",1)</f>
        <v>Пустая строка (убрать галочку)</v>
      </c>
    </row>
    <row r="572" spans="1:10" hidden="1">
      <c r="A572" s="33">
        <f>IF(D572=0,0,IF(D571=0,A570+1,A571+1))</f>
        <v>0</v>
      </c>
      <c r="B572" s="32" t="str">
        <f>"Рост стоимости "&amp;'Анализ стоимости'!$AW$1&amp;" г."</f>
        <v>Рост стоимости 2018 г.</v>
      </c>
      <c r="C572" s="33" t="s">
        <v>116</v>
      </c>
      <c r="D572" s="34">
        <f>VLOOKUP($F$25,таблица,38,0)</f>
        <v>0</v>
      </c>
      <c r="J572" s="362" t="str">
        <f>IF(D572=0,"Пустая строка (убрать галочку)",1)</f>
        <v>Пустая строка (убрать галочку)</v>
      </c>
    </row>
    <row r="573" spans="1:10" hidden="1">
      <c r="A573" s="33">
        <f>IF(D573=0,0,IF(D572=0,A571+1,A572+1))</f>
        <v>0</v>
      </c>
      <c r="B573" s="32" t="str">
        <f>"Рост стоимости "&amp;'Анализ стоимости'!$AX$1&amp;" г."</f>
        <v>Рост стоимости 2019 г.</v>
      </c>
      <c r="C573" s="33" t="s">
        <v>116</v>
      </c>
      <c r="D573" s="34">
        <f>VLOOKUP($F$25,таблица,40,0)</f>
        <v>0</v>
      </c>
      <c r="J573" s="362" t="str">
        <f>IF(D573=0,"Пустая строка (убрать галочку)",1)</f>
        <v>Пустая строка (убрать галочку)</v>
      </c>
    </row>
    <row r="574" spans="1:10" hidden="1">
      <c r="A574" s="384" t="s">
        <v>117</v>
      </c>
      <c r="B574" s="384"/>
      <c r="C574" s="384"/>
      <c r="D574" s="384"/>
      <c r="J574" s="362" t="str">
        <f>IF($F$25=0,"Пустая строка (убрать галочку)",1)</f>
        <v>Пустая строка (убрать галочку)</v>
      </c>
    </row>
    <row r="575" spans="1:10" ht="31.5" hidden="1">
      <c r="A575" s="33">
        <f>IF(D575=0,0,IF(D573=0,IF(D572=0,A569+1,A572+1),A573+1))</f>
        <v>0</v>
      </c>
      <c r="B57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575" s="33" t="s">
        <v>116</v>
      </c>
      <c r="D575" s="34">
        <f>SUM(VLOOKUP($F$25,таблица,37,0),D572)</f>
        <v>0</v>
      </c>
      <c r="E575" s="7"/>
      <c r="J575" s="362" t="str">
        <f t="shared" ref="J575:J581" si="113">IF(D575=0,"Пустая строка (убрать галочку)",1)</f>
        <v>Пустая строка (убрать галочку)</v>
      </c>
    </row>
    <row r="576" spans="1:10" hidden="1">
      <c r="A576" s="33">
        <f>IF(D576=0,0,A575+1)</f>
        <v>0</v>
      </c>
      <c r="B576" s="45" t="s">
        <v>119</v>
      </c>
      <c r="C576" s="33" t="s">
        <v>116</v>
      </c>
      <c r="D576" s="34">
        <f>VLOOKUP($F$25,таблица,39,0)</f>
        <v>0</v>
      </c>
      <c r="E576" s="7"/>
      <c r="J576" s="362" t="str">
        <f t="shared" si="113"/>
        <v>Пустая строка (убрать галочку)</v>
      </c>
    </row>
    <row r="577" spans="1:10" hidden="1">
      <c r="A577" s="33">
        <f>IF(D577=0,0,A576+1)</f>
        <v>0</v>
      </c>
      <c r="B577" s="45" t="str">
        <f>"Всего с НДС на "&amp;'Анализ стоимости'!$AW$1&amp;" г."</f>
        <v>Всего с НДС на 2018 г.</v>
      </c>
      <c r="C577" s="33" t="s">
        <v>116</v>
      </c>
      <c r="D577" s="46">
        <f>SUM(D575:D576)</f>
        <v>0</v>
      </c>
      <c r="E577" s="56">
        <f>VLOOKUP($F$25,таблица,51,0)</f>
        <v>0</v>
      </c>
      <c r="J577" s="362" t="str">
        <f t="shared" si="113"/>
        <v>Пустая строка (убрать галочку)</v>
      </c>
    </row>
    <row r="578" spans="1:10" ht="31.5" hidden="1">
      <c r="A578" s="33">
        <f>IF(D578=0,0,IF(D577=0,IF(D573=0,A569+1,A573+1),A577+1))</f>
        <v>0</v>
      </c>
      <c r="B57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578" s="33" t="s">
        <v>116</v>
      </c>
      <c r="D578" s="34">
        <f>VLOOKUP($F$25,таблица,36,0)-VLOOKUP($F$25,таблица,37,0)+D573</f>
        <v>0</v>
      </c>
      <c r="J578" s="362" t="str">
        <f t="shared" si="113"/>
        <v>Пустая строка (убрать галочку)</v>
      </c>
    </row>
    <row r="579" spans="1:10" hidden="1">
      <c r="A579" s="33">
        <f>IF(D579=0,0,A578+1)</f>
        <v>0</v>
      </c>
      <c r="B579" s="45" t="s">
        <v>119</v>
      </c>
      <c r="C579" s="33" t="s">
        <v>116</v>
      </c>
      <c r="D579" s="34">
        <f>VLOOKUP($F$25,таблица,41,0)</f>
        <v>0</v>
      </c>
      <c r="J579" s="362" t="str">
        <f t="shared" si="113"/>
        <v>Пустая строка (убрать галочку)</v>
      </c>
    </row>
    <row r="580" spans="1:10" hidden="1">
      <c r="A580" s="33">
        <f>IF(D580=0,0,A579+1)</f>
        <v>0</v>
      </c>
      <c r="B580" s="45" t="str">
        <f>"Всего с НДС на "&amp;'Анализ стоимости'!$AX$1&amp;" г."</f>
        <v>Всего с НДС на 2019 г.</v>
      </c>
      <c r="C580" s="33" t="s">
        <v>116</v>
      </c>
      <c r="D580" s="46">
        <f>SUM(D578:D579)</f>
        <v>0</v>
      </c>
      <c r="E580" s="56">
        <f>VLOOKUP($F$25,таблица,52,0)</f>
        <v>0</v>
      </c>
      <c r="J580" s="362" t="str">
        <f t="shared" si="113"/>
        <v>Пустая строка (убрать галочку)</v>
      </c>
    </row>
    <row r="581" spans="1:10" hidden="1">
      <c r="A581" s="33">
        <f>IF(D581=0,0,A580+1)</f>
        <v>0</v>
      </c>
      <c r="B581" s="45" t="s">
        <v>118</v>
      </c>
      <c r="C581" s="33" t="s">
        <v>116</v>
      </c>
      <c r="D581" s="46">
        <f>IF(OR(D577=0,D580=0),0,D580+D577)</f>
        <v>0</v>
      </c>
      <c r="E581" s="56">
        <f>VLOOKUP($F$25,таблица,42,0)</f>
        <v>0</v>
      </c>
      <c r="J581" s="362" t="str">
        <f t="shared" si="113"/>
        <v>Пустая строка (убрать галочку)</v>
      </c>
    </row>
    <row r="582" spans="1:10" hidden="1">
      <c r="A582" s="13"/>
      <c r="B582" s="13"/>
      <c r="C582" s="13"/>
      <c r="D582" s="14"/>
      <c r="J582" s="362" t="str">
        <f>IF($F$25=0,"Пустая строка (убрать галочку)",1)</f>
        <v>Пустая строка (убрать галочку)</v>
      </c>
    </row>
    <row r="583" spans="1:10" ht="47.25" hidden="1" customHeight="1">
      <c r="A58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583" s="382"/>
      <c r="C583" s="61"/>
      <c r="D583" s="48" t="str">
        <f>'Анализ стоимости'!$I$101</f>
        <v>Шестопал О.Н.</v>
      </c>
      <c r="G583" s="43" t="str">
        <f>A583</f>
        <v>Специалист администрации Старонижестеблиевского сельского поселения Красноармейского района</v>
      </c>
      <c r="J583" s="362" t="str">
        <f>IF($F$25=0,"Пустая строка (убрать галочку)",1)</f>
        <v>Пустая строка (убрать галочку)</v>
      </c>
    </row>
    <row r="584" spans="1:10" hidden="1">
      <c r="A584" s="49"/>
      <c r="B584" s="49"/>
      <c r="C584" s="49"/>
      <c r="D584" s="50"/>
      <c r="J584" s="362" t="str">
        <f>IF($F$25=0,"Пустая строка (убрать галочку)",1)</f>
        <v>Пустая строка (убрать галочку)</v>
      </c>
    </row>
    <row r="585" spans="1:10" hidden="1">
      <c r="A585" s="375"/>
      <c r="B585" s="375"/>
      <c r="C585" s="3"/>
      <c r="D585" s="3"/>
      <c r="J585" s="362" t="str">
        <f>IF($F$25=0,"Пустая строка (убрать галочку)",1)</f>
        <v>Пустая строка (убрать галочку)</v>
      </c>
    </row>
    <row r="586" spans="1:10" hidden="1">
      <c r="A586" s="385" t="s">
        <v>144</v>
      </c>
      <c r="B586" s="385"/>
      <c r="C586" s="385"/>
      <c r="D586" s="385"/>
      <c r="G586" s="37"/>
      <c r="H586" s="37"/>
      <c r="J586" s="362" t="str">
        <f t="shared" ref="J586:J603" si="114">IF($F$26=0,"Пустая строка (убрать галочку)",1)</f>
        <v>Пустая строка (убрать галочку)</v>
      </c>
    </row>
    <row r="587" spans="1:10" ht="47.25" hidden="1" customHeight="1">
      <c r="A587" s="376" t="str">
        <f>CONCATENATE("Наименование объекта: ",VLOOKUP($F$26,таблица,9,0))</f>
        <v xml:space="preserve">Наименование объекта: </v>
      </c>
      <c r="B587" s="376"/>
      <c r="C587" s="376"/>
      <c r="D587" s="376"/>
      <c r="I587" s="58" t="str">
        <f>A587</f>
        <v xml:space="preserve">Наименование объекта: </v>
      </c>
      <c r="J587" s="362" t="str">
        <f t="shared" si="114"/>
        <v>Пустая строка (убрать галочку)</v>
      </c>
    </row>
    <row r="588" spans="1:10" hidden="1">
      <c r="A588" s="30"/>
      <c r="B588" s="25"/>
      <c r="C588" s="25"/>
      <c r="D588" s="25"/>
      <c r="J588" s="362" t="str">
        <f t="shared" si="114"/>
        <v>Пустая строка (убрать галочку)</v>
      </c>
    </row>
    <row r="589" spans="1:10" hidden="1">
      <c r="A589" s="29" t="s">
        <v>111</v>
      </c>
      <c r="B589" s="22"/>
      <c r="C589" s="22"/>
      <c r="D589" s="22"/>
      <c r="J589" s="362" t="str">
        <f t="shared" si="114"/>
        <v>Пустая строка (убрать галочку)</v>
      </c>
    </row>
    <row r="590" spans="1:10" hidden="1">
      <c r="A590" s="383" t="s">
        <v>112</v>
      </c>
      <c r="B590" s="383"/>
      <c r="C590" s="383"/>
      <c r="D590" s="383"/>
      <c r="J590" s="362" t="str">
        <f t="shared" si="114"/>
        <v>Пустая строка (убрать галочку)</v>
      </c>
    </row>
    <row r="591" spans="1:10" ht="47.25" hidden="1">
      <c r="A591" s="63" t="s">
        <v>67</v>
      </c>
      <c r="B591" s="63" t="s">
        <v>98</v>
      </c>
      <c r="C591" s="377" t="str">
        <f>CONCATENATE("Стоимость  согласно сметной документации (руб.) в текущих ценах по состоянию на ",VLOOKUP($F$26,таблица,5,0)," г.")</f>
        <v>Стоимость  согласно сметной документации (руб.) в текущих ценах по состоянию на  г.</v>
      </c>
      <c r="D591" s="378"/>
      <c r="H591" s="44" t="str">
        <f>C591</f>
        <v>Стоимость  согласно сметной документации (руб.) в текущих ценах по состоянию на  г.</v>
      </c>
      <c r="J591" s="362" t="str">
        <f t="shared" si="114"/>
        <v>Пустая строка (убрать галочку)</v>
      </c>
    </row>
    <row r="592" spans="1:10" hidden="1">
      <c r="A592" s="33">
        <v>1</v>
      </c>
      <c r="B592" s="32" t="s">
        <v>46</v>
      </c>
      <c r="C592" s="379">
        <f>VLOOKUP($F$26,таблица,10,0)</f>
        <v>0</v>
      </c>
      <c r="D592" s="380"/>
      <c r="J592" s="362" t="str">
        <f t="shared" si="114"/>
        <v>Пустая строка (убрать галочку)</v>
      </c>
    </row>
    <row r="593" spans="1:10" hidden="1">
      <c r="A593" s="33">
        <v>2</v>
      </c>
      <c r="B593" s="32" t="s">
        <v>41</v>
      </c>
      <c r="C593" s="379">
        <f>VLOOKUP($F$26,таблица,11,0)</f>
        <v>0</v>
      </c>
      <c r="D593" s="380"/>
      <c r="J593" s="362" t="str">
        <f t="shared" si="114"/>
        <v>Пустая строка (убрать галочку)</v>
      </c>
    </row>
    <row r="594" spans="1:10" ht="31.5" hidden="1">
      <c r="A594" s="33">
        <v>3</v>
      </c>
      <c r="B594" s="32" t="s">
        <v>3</v>
      </c>
      <c r="C594" s="379">
        <f>VLOOKUP($F$26,таблица,12,0)</f>
        <v>0</v>
      </c>
      <c r="D594" s="380"/>
      <c r="J594" s="362" t="str">
        <f t="shared" si="114"/>
        <v>Пустая строка (убрать галочку)</v>
      </c>
    </row>
    <row r="595" spans="1:10" hidden="1">
      <c r="A595" s="33">
        <v>4</v>
      </c>
      <c r="B595" s="32" t="s">
        <v>42</v>
      </c>
      <c r="C595" s="379">
        <f>VLOOKUP($F$26,таблица,13,0)</f>
        <v>0</v>
      </c>
      <c r="D595" s="380"/>
      <c r="J595" s="362" t="str">
        <f t="shared" si="114"/>
        <v>Пустая строка (убрать галочку)</v>
      </c>
    </row>
    <row r="596" spans="1:10" hidden="1">
      <c r="A596" s="33">
        <v>5</v>
      </c>
      <c r="B596" s="32" t="s">
        <v>5</v>
      </c>
      <c r="C596" s="379">
        <f>VLOOKUP($F$26,таблица,14,0)</f>
        <v>0</v>
      </c>
      <c r="D596" s="380"/>
      <c r="J596" s="362" t="str">
        <f t="shared" si="114"/>
        <v>Пустая строка (убрать галочку)</v>
      </c>
    </row>
    <row r="597" spans="1:10" hidden="1">
      <c r="A597" s="33">
        <v>6</v>
      </c>
      <c r="B597" s="32" t="s">
        <v>12</v>
      </c>
      <c r="C597" s="379">
        <f>VLOOKUP($F$26,таблица,18,0)</f>
        <v>0</v>
      </c>
      <c r="D597" s="380"/>
      <c r="J597" s="362" t="str">
        <f t="shared" si="114"/>
        <v>Пустая строка (убрать галочку)</v>
      </c>
    </row>
    <row r="598" spans="1:10" hidden="1">
      <c r="A598" s="33">
        <v>7</v>
      </c>
      <c r="B598" s="32" t="s">
        <v>88</v>
      </c>
      <c r="C598" s="379">
        <f>VLOOKUP($F$26,таблица,19,0)+VLOOKUP($F$26,таблица,21,0)+VLOOKUP($F$26,таблица,22,0)+VLOOKUP($F$26,таблица,23,0)+VLOOKUP($F$26,таблица,24,0)+VLOOKUP($F$26,таблица,25,0)+VLOOKUP($F$26,таблица,26,0)</f>
        <v>0</v>
      </c>
      <c r="D598" s="380"/>
      <c r="J598" s="362" t="str">
        <f t="shared" si="114"/>
        <v>Пустая строка (убрать галочку)</v>
      </c>
    </row>
    <row r="599" spans="1:10" hidden="1">
      <c r="A599" s="33">
        <v>8</v>
      </c>
      <c r="B599" s="32" t="s">
        <v>62</v>
      </c>
      <c r="C599" s="379">
        <f>VLOOKUP($F$26,таблица,31,0)</f>
        <v>0</v>
      </c>
      <c r="D599" s="380"/>
      <c r="J599" s="362" t="str">
        <f t="shared" si="114"/>
        <v>Пустая строка (убрать галочку)</v>
      </c>
    </row>
    <row r="600" spans="1:10" hidden="1">
      <c r="A600" s="33">
        <v>9</v>
      </c>
      <c r="B600" s="32" t="s">
        <v>127</v>
      </c>
      <c r="C600" s="379">
        <f>SUM(C592:D599)</f>
        <v>0</v>
      </c>
      <c r="D600" s="380"/>
      <c r="J600" s="362" t="str">
        <f t="shared" si="114"/>
        <v>Пустая строка (убрать галочку)</v>
      </c>
    </row>
    <row r="601" spans="1:10" hidden="1">
      <c r="A601" s="384" t="s">
        <v>122</v>
      </c>
      <c r="B601" s="384"/>
      <c r="C601" s="384"/>
      <c r="D601" s="384"/>
      <c r="J601" s="362" t="str">
        <f t="shared" si="114"/>
        <v>Пустая строка (убрать галочку)</v>
      </c>
    </row>
    <row r="602" spans="1:10" ht="31.5" hidden="1">
      <c r="A602" s="35" t="s">
        <v>67</v>
      </c>
      <c r="B602" s="63" t="s">
        <v>21</v>
      </c>
      <c r="C602" s="63" t="s">
        <v>114</v>
      </c>
      <c r="D602" s="63" t="s">
        <v>99</v>
      </c>
      <c r="J602" s="362" t="str">
        <f t="shared" si="114"/>
        <v>Пустая строка (убрать галочку)</v>
      </c>
    </row>
    <row r="603" spans="1:10" hidden="1">
      <c r="A603" s="33">
        <v>10</v>
      </c>
      <c r="B603" s="33" t="e">
        <f>VLOOKUP((VLOOKUP($F$26,таблица,8,0)),рем_содер,2,0)</f>
        <v>#N/A</v>
      </c>
      <c r="C603" s="33"/>
      <c r="D603" s="32"/>
      <c r="J603" s="362" t="str">
        <f t="shared" si="114"/>
        <v>Пустая строка (убрать галочку)</v>
      </c>
    </row>
    <row r="604" spans="1:10" hidden="1">
      <c r="A604" s="33">
        <f>IF(D604=0,0,A603+1)</f>
        <v>0</v>
      </c>
      <c r="B604" s="32" t="e">
        <f>CONCATENATE('Анализ стоимости'!$AW$1," г (",CHOOSE(VLOOKUP($F$26,таблица,43,0),"Январь","Февраль","Март","Апрель","Май","Июнь","Июль","Август","Сентябрь","Октябрь","Ноябрь","Декабрь")," - ",CHOOSE(VLOOKUP($F$26,таблица,44,0),"Январь","Февраль","Март","Апрель","Май","Июнь","Июль","Август","Сентябрь","Октябрь","Ноябрь","Декабрь"),")")</f>
        <v>#VALUE!</v>
      </c>
      <c r="C604" s="33" t="s">
        <v>115</v>
      </c>
      <c r="D604" s="55">
        <f>IF(D606=0,0,VLOOKUP($F$26,таблица,49,0)*100+100)</f>
        <v>0</v>
      </c>
      <c r="J604" s="362" t="str">
        <f>IF(D604=0,"Пустая строка (убрать галочку)",1)</f>
        <v>Пустая строка (убрать галочку)</v>
      </c>
    </row>
    <row r="605" spans="1:10" hidden="1">
      <c r="A605" s="33">
        <f>IF(D605=0,0,IF(D604=0,A603+1,A604+1))</f>
        <v>0</v>
      </c>
      <c r="B605" s="32" t="e">
        <f>CONCATENATE('Анализ стоимости'!$AX$1," г (",CHOOSE(VLOOKUP($F$26,таблица,45,0),"Январь","Февраль","Март","Апрель","Май","Июнь","Июль","Август","Сентябрь","Октябрь","Ноябрь","Декабрь")," - ",CHOOSE(VLOOKUP($F$26,таблица,46,0),"Январь","Февраль","Март","Апрель","Май","Июнь","Июль","Август","Сентябрь","Октябрь","Ноябрь","Декабрь"),")")</f>
        <v>#VALUE!</v>
      </c>
      <c r="C605" s="33" t="s">
        <v>115</v>
      </c>
      <c r="D605" s="55">
        <f>IF(D607=0,0,VLOOKUP($F$26,таблица,50,0)*100+100)</f>
        <v>0</v>
      </c>
      <c r="J605" s="362" t="str">
        <f>IF(D605=0,"Пустая строка (убрать галочку)",1)</f>
        <v>Пустая строка (убрать галочку)</v>
      </c>
    </row>
    <row r="606" spans="1:10" hidden="1">
      <c r="A606" s="33">
        <f>IF(D606=0,0,IF(D605=0,A604+1,A605+1))</f>
        <v>0</v>
      </c>
      <c r="B606" s="32" t="str">
        <f>"Рост стоимости "&amp;'Анализ стоимости'!$AW$1&amp;" г."</f>
        <v>Рост стоимости 2018 г.</v>
      </c>
      <c r="C606" s="33" t="s">
        <v>116</v>
      </c>
      <c r="D606" s="34">
        <f>VLOOKUP($F$26,таблица,38,0)</f>
        <v>0</v>
      </c>
      <c r="J606" s="362" t="str">
        <f>IF(D606=0,"Пустая строка (убрать галочку)",1)</f>
        <v>Пустая строка (убрать галочку)</v>
      </c>
    </row>
    <row r="607" spans="1:10" hidden="1">
      <c r="A607" s="33">
        <f>IF(D607=0,0,IF(D606=0,A605+1,A606+1))</f>
        <v>0</v>
      </c>
      <c r="B607" s="32" t="str">
        <f>"Рост стоимости "&amp;'Анализ стоимости'!$AX$1&amp;" г."</f>
        <v>Рост стоимости 2019 г.</v>
      </c>
      <c r="C607" s="33" t="s">
        <v>116</v>
      </c>
      <c r="D607" s="34">
        <f>VLOOKUP($F$26,таблица,40,0)</f>
        <v>0</v>
      </c>
      <c r="J607" s="362" t="str">
        <f>IF(D607=0,"Пустая строка (убрать галочку)",1)</f>
        <v>Пустая строка (убрать галочку)</v>
      </c>
    </row>
    <row r="608" spans="1:10" hidden="1">
      <c r="A608" s="384" t="s">
        <v>117</v>
      </c>
      <c r="B608" s="384"/>
      <c r="C608" s="384"/>
      <c r="D608" s="384"/>
      <c r="J608" s="362" t="str">
        <f>IF($F$26=0,"Пустая строка (убрать галочку)",1)</f>
        <v>Пустая строка (убрать галочку)</v>
      </c>
    </row>
    <row r="609" spans="1:10" ht="31.5" hidden="1">
      <c r="A609" s="33">
        <f>IF(D609=0,0,IF(D607=0,IF(D606=0,A603+1,A606+1),A607+1))</f>
        <v>0</v>
      </c>
      <c r="B60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609" s="33" t="s">
        <v>116</v>
      </c>
      <c r="D609" s="34">
        <f>SUM(VLOOKUP($F$26,таблица,37,0),D606)</f>
        <v>0</v>
      </c>
      <c r="E609" s="7"/>
      <c r="J609" s="362" t="str">
        <f t="shared" ref="J609:J615" si="115">IF(D609=0,"Пустая строка (убрать галочку)",1)</f>
        <v>Пустая строка (убрать галочку)</v>
      </c>
    </row>
    <row r="610" spans="1:10" hidden="1">
      <c r="A610" s="33">
        <f>IF(D610=0,0,A609+1)</f>
        <v>0</v>
      </c>
      <c r="B610" s="45" t="s">
        <v>119</v>
      </c>
      <c r="C610" s="33" t="s">
        <v>116</v>
      </c>
      <c r="D610" s="34">
        <f>VLOOKUP($F$26,таблица,39,0)</f>
        <v>0</v>
      </c>
      <c r="E610" s="7"/>
      <c r="J610" s="362" t="str">
        <f t="shared" si="115"/>
        <v>Пустая строка (убрать галочку)</v>
      </c>
    </row>
    <row r="611" spans="1:10" hidden="1">
      <c r="A611" s="33">
        <f>IF(D611=0,0,A610+1)</f>
        <v>0</v>
      </c>
      <c r="B611" s="45" t="str">
        <f>"Всего с НДС на "&amp;'Анализ стоимости'!$AW$1&amp;" г."</f>
        <v>Всего с НДС на 2018 г.</v>
      </c>
      <c r="C611" s="33" t="s">
        <v>116</v>
      </c>
      <c r="D611" s="46">
        <f>SUM(D609:D610)</f>
        <v>0</v>
      </c>
      <c r="E611" s="56">
        <f>VLOOKUP($F$26,таблица,51,0)</f>
        <v>0</v>
      </c>
      <c r="J611" s="362" t="str">
        <f t="shared" si="115"/>
        <v>Пустая строка (убрать галочку)</v>
      </c>
    </row>
    <row r="612" spans="1:10" ht="31.5" hidden="1">
      <c r="A612" s="33">
        <f>IF(D612=0,0,IF(D611=0,IF(D607=0,A603+1,A607+1),A611+1))</f>
        <v>0</v>
      </c>
      <c r="B61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612" s="33" t="s">
        <v>116</v>
      </c>
      <c r="D612" s="34">
        <f>VLOOKUP($F$26,таблица,36,0)-VLOOKUP($F$26,таблица,37,0)+D607</f>
        <v>0</v>
      </c>
      <c r="J612" s="362" t="str">
        <f t="shared" si="115"/>
        <v>Пустая строка (убрать галочку)</v>
      </c>
    </row>
    <row r="613" spans="1:10" hidden="1">
      <c r="A613" s="33">
        <f>IF(D613=0,0,A612+1)</f>
        <v>0</v>
      </c>
      <c r="B613" s="45" t="s">
        <v>119</v>
      </c>
      <c r="C613" s="33" t="s">
        <v>116</v>
      </c>
      <c r="D613" s="34">
        <f>VLOOKUP($F$26,таблица,41,0)</f>
        <v>0</v>
      </c>
      <c r="J613" s="362" t="str">
        <f t="shared" si="115"/>
        <v>Пустая строка (убрать галочку)</v>
      </c>
    </row>
    <row r="614" spans="1:10" hidden="1">
      <c r="A614" s="33">
        <f>IF(D614=0,0,A613+1)</f>
        <v>0</v>
      </c>
      <c r="B614" s="45" t="str">
        <f>"Всего с НДС на "&amp;'Анализ стоимости'!$AX$1&amp;" г."</f>
        <v>Всего с НДС на 2019 г.</v>
      </c>
      <c r="C614" s="33" t="s">
        <v>116</v>
      </c>
      <c r="D614" s="46">
        <f>SUM(D612:D613)</f>
        <v>0</v>
      </c>
      <c r="E614" s="56">
        <f>VLOOKUP($F$26,таблица,52,0)</f>
        <v>0</v>
      </c>
      <c r="J614" s="362" t="str">
        <f t="shared" si="115"/>
        <v>Пустая строка (убрать галочку)</v>
      </c>
    </row>
    <row r="615" spans="1:10" hidden="1">
      <c r="A615" s="33">
        <f>IF(D615=0,0,A614+1)</f>
        <v>0</v>
      </c>
      <c r="B615" s="45" t="s">
        <v>118</v>
      </c>
      <c r="C615" s="33" t="s">
        <v>116</v>
      </c>
      <c r="D615" s="46">
        <f>IF(OR(D611=0,D614=0),0,D614+D611)</f>
        <v>0</v>
      </c>
      <c r="E615" s="56">
        <f>VLOOKUP($F$26,таблица,42,0)</f>
        <v>0</v>
      </c>
      <c r="J615" s="362" t="str">
        <f t="shared" si="115"/>
        <v>Пустая строка (убрать галочку)</v>
      </c>
    </row>
    <row r="616" spans="1:10" hidden="1">
      <c r="A616" s="13"/>
      <c r="B616" s="13"/>
      <c r="C616" s="13"/>
      <c r="D616" s="14"/>
      <c r="J616" s="362" t="str">
        <f>IF($F$26=0,"Пустая строка (убрать галочку)",1)</f>
        <v>Пустая строка (убрать галочку)</v>
      </c>
    </row>
    <row r="617" spans="1:10" ht="47.25" hidden="1" customHeight="1">
      <c r="A61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617" s="382"/>
      <c r="C617" s="61"/>
      <c r="D617" s="48" t="str">
        <f>'Анализ стоимости'!$I$101</f>
        <v>Шестопал О.Н.</v>
      </c>
      <c r="G617" s="43" t="str">
        <f>A617</f>
        <v>Специалист администрации Старонижестеблиевского сельского поселения Красноармейского района</v>
      </c>
      <c r="J617" s="362" t="str">
        <f>IF($F$26=0,"Пустая строка (убрать галочку)",1)</f>
        <v>Пустая строка (убрать галочку)</v>
      </c>
    </row>
    <row r="618" spans="1:10" hidden="1">
      <c r="A618" s="49"/>
      <c r="B618" s="49"/>
      <c r="C618" s="49"/>
      <c r="D618" s="50"/>
      <c r="J618" s="362" t="str">
        <f>IF($F$26=0,"Пустая строка (убрать галочку)",1)</f>
        <v>Пустая строка (убрать галочку)</v>
      </c>
    </row>
    <row r="619" spans="1:10" hidden="1">
      <c r="A619" s="375"/>
      <c r="B619" s="375"/>
      <c r="C619" s="3"/>
      <c r="D619" s="3"/>
      <c r="J619" s="362" t="str">
        <f>IF($F$26=0,"Пустая строка (убрать галочку)",1)</f>
        <v>Пустая строка (убрать галочку)</v>
      </c>
    </row>
    <row r="620" spans="1:10" hidden="1">
      <c r="A620" s="385" t="s">
        <v>145</v>
      </c>
      <c r="B620" s="385"/>
      <c r="C620" s="385"/>
      <c r="D620" s="385"/>
      <c r="G620" s="37"/>
      <c r="H620" s="37"/>
      <c r="J620" s="362" t="str">
        <f t="shared" ref="J620:J637" si="116">IF($F$27=0,"Пустая строка (убрать галочку)",1)</f>
        <v>Пустая строка (убрать галочку)</v>
      </c>
    </row>
    <row r="621" spans="1:10" ht="47.25" hidden="1" customHeight="1">
      <c r="A621" s="376" t="str">
        <f>CONCATENATE("Наименование объекта: ",VLOOKUP($F$27,таблица,9,0))</f>
        <v xml:space="preserve">Наименование объекта: </v>
      </c>
      <c r="B621" s="376"/>
      <c r="C621" s="376"/>
      <c r="D621" s="376"/>
      <c r="I621" s="58" t="str">
        <f>A621</f>
        <v xml:space="preserve">Наименование объекта: </v>
      </c>
      <c r="J621" s="362" t="str">
        <f t="shared" si="116"/>
        <v>Пустая строка (убрать галочку)</v>
      </c>
    </row>
    <row r="622" spans="1:10" hidden="1">
      <c r="A622" s="30"/>
      <c r="B622" s="25"/>
      <c r="C622" s="25"/>
      <c r="D622" s="25"/>
      <c r="J622" s="362" t="str">
        <f t="shared" si="116"/>
        <v>Пустая строка (убрать галочку)</v>
      </c>
    </row>
    <row r="623" spans="1:10" hidden="1">
      <c r="A623" s="29" t="s">
        <v>111</v>
      </c>
      <c r="B623" s="22"/>
      <c r="C623" s="22"/>
      <c r="D623" s="22"/>
      <c r="J623" s="362" t="str">
        <f t="shared" si="116"/>
        <v>Пустая строка (убрать галочку)</v>
      </c>
    </row>
    <row r="624" spans="1:10" hidden="1">
      <c r="A624" s="383" t="s">
        <v>112</v>
      </c>
      <c r="B624" s="383"/>
      <c r="C624" s="383"/>
      <c r="D624" s="383"/>
      <c r="J624" s="362" t="str">
        <f t="shared" si="116"/>
        <v>Пустая строка (убрать галочку)</v>
      </c>
    </row>
    <row r="625" spans="1:10" ht="47.25" hidden="1">
      <c r="A625" s="63" t="s">
        <v>67</v>
      </c>
      <c r="B625" s="63" t="s">
        <v>98</v>
      </c>
      <c r="C625" s="377" t="str">
        <f>CONCATENATE("Стоимость  согласно сметной документации (руб.) в текущих ценах по состоянию на ",VLOOKUP($F$27,таблица,5,0)," г.")</f>
        <v>Стоимость  согласно сметной документации (руб.) в текущих ценах по состоянию на  г.</v>
      </c>
      <c r="D625" s="378"/>
      <c r="H625" s="44" t="str">
        <f>C625</f>
        <v>Стоимость  согласно сметной документации (руб.) в текущих ценах по состоянию на  г.</v>
      </c>
      <c r="J625" s="362" t="str">
        <f t="shared" si="116"/>
        <v>Пустая строка (убрать галочку)</v>
      </c>
    </row>
    <row r="626" spans="1:10" hidden="1">
      <c r="A626" s="33">
        <v>1</v>
      </c>
      <c r="B626" s="32" t="s">
        <v>46</v>
      </c>
      <c r="C626" s="379">
        <f>VLOOKUP($F$27,таблица,10,0)</f>
        <v>0</v>
      </c>
      <c r="D626" s="380"/>
      <c r="J626" s="362" t="str">
        <f t="shared" si="116"/>
        <v>Пустая строка (убрать галочку)</v>
      </c>
    </row>
    <row r="627" spans="1:10" hidden="1">
      <c r="A627" s="33">
        <v>2</v>
      </c>
      <c r="B627" s="32" t="s">
        <v>41</v>
      </c>
      <c r="C627" s="379">
        <f>VLOOKUP($F$27,таблица,11,0)</f>
        <v>0</v>
      </c>
      <c r="D627" s="380"/>
      <c r="J627" s="362" t="str">
        <f t="shared" si="116"/>
        <v>Пустая строка (убрать галочку)</v>
      </c>
    </row>
    <row r="628" spans="1:10" ht="31.5" hidden="1">
      <c r="A628" s="33">
        <v>3</v>
      </c>
      <c r="B628" s="32" t="s">
        <v>3</v>
      </c>
      <c r="C628" s="379">
        <f>VLOOKUP($F$27,таблица,12,0)</f>
        <v>0</v>
      </c>
      <c r="D628" s="380"/>
      <c r="J628" s="362" t="str">
        <f t="shared" si="116"/>
        <v>Пустая строка (убрать галочку)</v>
      </c>
    </row>
    <row r="629" spans="1:10" hidden="1">
      <c r="A629" s="33">
        <v>4</v>
      </c>
      <c r="B629" s="32" t="s">
        <v>42</v>
      </c>
      <c r="C629" s="379">
        <f>VLOOKUP($F$27,таблица,13,0)</f>
        <v>0</v>
      </c>
      <c r="D629" s="380"/>
      <c r="J629" s="362" t="str">
        <f t="shared" si="116"/>
        <v>Пустая строка (убрать галочку)</v>
      </c>
    </row>
    <row r="630" spans="1:10" hidden="1">
      <c r="A630" s="33">
        <v>5</v>
      </c>
      <c r="B630" s="32" t="s">
        <v>5</v>
      </c>
      <c r="C630" s="379">
        <f>VLOOKUP($F$27,таблица,14,0)</f>
        <v>0</v>
      </c>
      <c r="D630" s="380"/>
      <c r="J630" s="362" t="str">
        <f t="shared" si="116"/>
        <v>Пустая строка (убрать галочку)</v>
      </c>
    </row>
    <row r="631" spans="1:10" hidden="1">
      <c r="A631" s="33">
        <v>6</v>
      </c>
      <c r="B631" s="32" t="s">
        <v>12</v>
      </c>
      <c r="C631" s="379">
        <f>VLOOKUP($F$27,таблица,18,0)</f>
        <v>0</v>
      </c>
      <c r="D631" s="380"/>
      <c r="J631" s="362" t="str">
        <f t="shared" si="116"/>
        <v>Пустая строка (убрать галочку)</v>
      </c>
    </row>
    <row r="632" spans="1:10" hidden="1">
      <c r="A632" s="33">
        <v>7</v>
      </c>
      <c r="B632" s="32" t="s">
        <v>88</v>
      </c>
      <c r="C632" s="379">
        <f>VLOOKUP($F$27,таблица,19,0)+VLOOKUP($F$27,таблица,21,0)+VLOOKUP($F$27,таблица,22,0)+VLOOKUP($F$27,таблица,23,0)+VLOOKUP($F$27,таблица,24,0)+VLOOKUP($F$27,таблица,25,0)+VLOOKUP($F$27,таблица,26,0)</f>
        <v>0</v>
      </c>
      <c r="D632" s="380"/>
      <c r="J632" s="362" t="str">
        <f t="shared" si="116"/>
        <v>Пустая строка (убрать галочку)</v>
      </c>
    </row>
    <row r="633" spans="1:10" hidden="1">
      <c r="A633" s="33">
        <v>8</v>
      </c>
      <c r="B633" s="32" t="s">
        <v>62</v>
      </c>
      <c r="C633" s="379">
        <f>VLOOKUP($F$27,таблица,31,0)</f>
        <v>0</v>
      </c>
      <c r="D633" s="380"/>
      <c r="J633" s="362" t="str">
        <f t="shared" si="116"/>
        <v>Пустая строка (убрать галочку)</v>
      </c>
    </row>
    <row r="634" spans="1:10" hidden="1">
      <c r="A634" s="33">
        <v>9</v>
      </c>
      <c r="B634" s="32" t="s">
        <v>127</v>
      </c>
      <c r="C634" s="379">
        <f>SUM(C626:D633)</f>
        <v>0</v>
      </c>
      <c r="D634" s="380"/>
      <c r="J634" s="362" t="str">
        <f t="shared" si="116"/>
        <v>Пустая строка (убрать галочку)</v>
      </c>
    </row>
    <row r="635" spans="1:10" hidden="1">
      <c r="A635" s="384" t="s">
        <v>122</v>
      </c>
      <c r="B635" s="384"/>
      <c r="C635" s="384"/>
      <c r="D635" s="384"/>
      <c r="J635" s="362" t="str">
        <f t="shared" si="116"/>
        <v>Пустая строка (убрать галочку)</v>
      </c>
    </row>
    <row r="636" spans="1:10" ht="31.5" hidden="1">
      <c r="A636" s="35" t="s">
        <v>67</v>
      </c>
      <c r="B636" s="63" t="s">
        <v>21</v>
      </c>
      <c r="C636" s="63" t="s">
        <v>114</v>
      </c>
      <c r="D636" s="63" t="s">
        <v>99</v>
      </c>
      <c r="J636" s="362" t="str">
        <f t="shared" si="116"/>
        <v>Пустая строка (убрать галочку)</v>
      </c>
    </row>
    <row r="637" spans="1:10" hidden="1">
      <c r="A637" s="33">
        <v>10</v>
      </c>
      <c r="B637" s="33" t="e">
        <f>VLOOKUP((VLOOKUP($F$27,таблица,8,0)),рем_содер,2,0)</f>
        <v>#N/A</v>
      </c>
      <c r="C637" s="33"/>
      <c r="D637" s="32"/>
      <c r="J637" s="362" t="str">
        <f t="shared" si="116"/>
        <v>Пустая строка (убрать галочку)</v>
      </c>
    </row>
    <row r="638" spans="1:10" hidden="1">
      <c r="A638" s="33">
        <f>IF(D638=0,0,A637+1)</f>
        <v>0</v>
      </c>
      <c r="B638" s="32" t="e">
        <f>CONCATENATE('Анализ стоимости'!$AW$1," г (",CHOOSE(VLOOKUP(F$27,таблица,43,0),"Январь","Февраль","Март","Апрель","Май","Июнь","Июль","Август","Сентябрь","Октябрь","Ноябрь","Декабрь")," - ",CHOOSE(VLOOKUP(F$27,таблица,44,0),"Январь","Февраль","Март","Апрель","Май","Июнь","Июль","Август","Сентябрь","Октябрь","Ноябрь","Декабрь"),")")</f>
        <v>#VALUE!</v>
      </c>
      <c r="C638" s="33" t="s">
        <v>115</v>
      </c>
      <c r="D638" s="55">
        <f>IF(D640=0,0,VLOOKUP($F$27,таблица,49,0)*100+100)</f>
        <v>0</v>
      </c>
      <c r="J638" s="362" t="str">
        <f>IF(D638=0,"Пустая строка (убрать галочку)",1)</f>
        <v>Пустая строка (убрать галочку)</v>
      </c>
    </row>
    <row r="639" spans="1:10" hidden="1">
      <c r="A639" s="33">
        <f>IF(D639=0,0,IF(D638=0,A637+1,A638+1))</f>
        <v>0</v>
      </c>
      <c r="B639" s="32" t="e">
        <f>CONCATENATE('Анализ стоимости'!$AX$1," г (",CHOOSE(VLOOKUP(F$27,таблица,45,0),"Январь","Февраль","Март","Апрель","Май","Июнь","Июль","Август","Сентябрь","Октябрь","Ноябрь","Декабрь")," - ",CHOOSE(VLOOKUP(F$27,таблица,46,0),"Январь","Февраль","Март","Апрель","Май","Июнь","Июль","Август","Сентябрь","Октябрь","Ноябрь","Декабрь"),")")</f>
        <v>#VALUE!</v>
      </c>
      <c r="C639" s="33" t="s">
        <v>115</v>
      </c>
      <c r="D639" s="55">
        <f>IF(D641=0,0,VLOOKUP($F$27,таблица,50,0)*100+100)</f>
        <v>0</v>
      </c>
      <c r="J639" s="362" t="str">
        <f>IF(D639=0,"Пустая строка (убрать галочку)",1)</f>
        <v>Пустая строка (убрать галочку)</v>
      </c>
    </row>
    <row r="640" spans="1:10" hidden="1">
      <c r="A640" s="33">
        <f>IF(D640=0,0,IF(D639=0,A638+1,A639+1))</f>
        <v>0</v>
      </c>
      <c r="B640" s="32" t="str">
        <f>"Рост стоимости "&amp;'Анализ стоимости'!$AW$1&amp;" г."</f>
        <v>Рост стоимости 2018 г.</v>
      </c>
      <c r="C640" s="33" t="s">
        <v>116</v>
      </c>
      <c r="D640" s="34">
        <f>VLOOKUP($F$27,таблица,38,0)</f>
        <v>0</v>
      </c>
      <c r="J640" s="362" t="str">
        <f>IF(D640=0,"Пустая строка (убрать галочку)",1)</f>
        <v>Пустая строка (убрать галочку)</v>
      </c>
    </row>
    <row r="641" spans="1:10" hidden="1">
      <c r="A641" s="33">
        <f>IF(D641=0,0,IF(D640=0,A639+1,A640+1))</f>
        <v>0</v>
      </c>
      <c r="B641" s="32" t="str">
        <f>"Рост стоимости "&amp;'Анализ стоимости'!$AX$1&amp;" г."</f>
        <v>Рост стоимости 2019 г.</v>
      </c>
      <c r="C641" s="33" t="s">
        <v>116</v>
      </c>
      <c r="D641" s="34">
        <f>VLOOKUP($F$27,таблица,40,0)</f>
        <v>0</v>
      </c>
      <c r="J641" s="362" t="str">
        <f>IF(D641=0,"Пустая строка (убрать галочку)",1)</f>
        <v>Пустая строка (убрать галочку)</v>
      </c>
    </row>
    <row r="642" spans="1:10" hidden="1">
      <c r="A642" s="384" t="s">
        <v>117</v>
      </c>
      <c r="B642" s="384"/>
      <c r="C642" s="384"/>
      <c r="D642" s="384"/>
      <c r="J642" s="362" t="str">
        <f>IF($F$27=0,"Пустая строка (убрать галочку)",1)</f>
        <v>Пустая строка (убрать галочку)</v>
      </c>
    </row>
    <row r="643" spans="1:10" ht="31.5" hidden="1">
      <c r="A643" s="33">
        <f>IF(D643=0,0,IF(D641=0,IF(D640=0,A637+1,A640+1),A641+1))</f>
        <v>0</v>
      </c>
      <c r="B64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643" s="33" t="s">
        <v>116</v>
      </c>
      <c r="D643" s="34">
        <f>SUM(VLOOKUP($F$27,таблица,37,0),D640)</f>
        <v>0</v>
      </c>
      <c r="E643" s="7"/>
      <c r="J643" s="362" t="str">
        <f t="shared" ref="J643:J649" si="117">IF(D643=0,"Пустая строка (убрать галочку)",1)</f>
        <v>Пустая строка (убрать галочку)</v>
      </c>
    </row>
    <row r="644" spans="1:10" hidden="1">
      <c r="A644" s="33">
        <f>IF(D644=0,0,A643+1)</f>
        <v>0</v>
      </c>
      <c r="B644" s="45" t="s">
        <v>119</v>
      </c>
      <c r="C644" s="33" t="s">
        <v>116</v>
      </c>
      <c r="D644" s="34">
        <f>VLOOKUP($F$27,таблица,39,0)</f>
        <v>0</v>
      </c>
      <c r="E644" s="7"/>
      <c r="J644" s="362" t="str">
        <f t="shared" si="117"/>
        <v>Пустая строка (убрать галочку)</v>
      </c>
    </row>
    <row r="645" spans="1:10" hidden="1">
      <c r="A645" s="33">
        <f>IF(D645=0,0,A644+1)</f>
        <v>0</v>
      </c>
      <c r="B645" s="45" t="str">
        <f>"Всего с НДС на "&amp;'Анализ стоимости'!$AW$1&amp;" г."</f>
        <v>Всего с НДС на 2018 г.</v>
      </c>
      <c r="C645" s="33" t="s">
        <v>116</v>
      </c>
      <c r="D645" s="46">
        <f>SUM(D643:D644)</f>
        <v>0</v>
      </c>
      <c r="E645" s="56">
        <f>VLOOKUP($F$27,таблица,51,0)</f>
        <v>0</v>
      </c>
      <c r="J645" s="362" t="str">
        <f t="shared" si="117"/>
        <v>Пустая строка (убрать галочку)</v>
      </c>
    </row>
    <row r="646" spans="1:10" ht="31.5" hidden="1">
      <c r="A646" s="33">
        <f>IF(D646=0,0,IF(D645=0,IF(D641=0,A637+1,A641+1),A645+1))</f>
        <v>0</v>
      </c>
      <c r="B64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646" s="33" t="s">
        <v>116</v>
      </c>
      <c r="D646" s="34">
        <f>VLOOKUP($F$27,таблица,36,0)-VLOOKUP($F$27,таблица,37,0)+D641</f>
        <v>0</v>
      </c>
      <c r="J646" s="362" t="str">
        <f t="shared" si="117"/>
        <v>Пустая строка (убрать галочку)</v>
      </c>
    </row>
    <row r="647" spans="1:10" hidden="1">
      <c r="A647" s="33">
        <f>IF(D647=0,0,A646+1)</f>
        <v>0</v>
      </c>
      <c r="B647" s="45" t="s">
        <v>119</v>
      </c>
      <c r="C647" s="33" t="s">
        <v>116</v>
      </c>
      <c r="D647" s="34">
        <f>VLOOKUP($F$27,таблица,41,0)</f>
        <v>0</v>
      </c>
      <c r="J647" s="362" t="str">
        <f t="shared" si="117"/>
        <v>Пустая строка (убрать галочку)</v>
      </c>
    </row>
    <row r="648" spans="1:10" hidden="1">
      <c r="A648" s="33">
        <f>IF(D648=0,0,A647+1)</f>
        <v>0</v>
      </c>
      <c r="B648" s="45" t="str">
        <f>"Всего с НДС на "&amp;'Анализ стоимости'!$AX$1&amp;" г."</f>
        <v>Всего с НДС на 2019 г.</v>
      </c>
      <c r="C648" s="33" t="s">
        <v>116</v>
      </c>
      <c r="D648" s="46">
        <f>SUM(D646:D647)</f>
        <v>0</v>
      </c>
      <c r="E648" s="56">
        <f>VLOOKUP($F$27,таблица,52,0)</f>
        <v>0</v>
      </c>
      <c r="J648" s="362" t="str">
        <f t="shared" si="117"/>
        <v>Пустая строка (убрать галочку)</v>
      </c>
    </row>
    <row r="649" spans="1:10" hidden="1">
      <c r="A649" s="33">
        <f>IF(D649=0,0,A648+1)</f>
        <v>0</v>
      </c>
      <c r="B649" s="45" t="s">
        <v>118</v>
      </c>
      <c r="C649" s="33" t="s">
        <v>116</v>
      </c>
      <c r="D649" s="46">
        <f>IF(OR(D645=0,D648=0),0,D648+D645)</f>
        <v>0</v>
      </c>
      <c r="E649" s="56">
        <f>VLOOKUP($F$27,таблица,42,0)</f>
        <v>0</v>
      </c>
      <c r="J649" s="362" t="str">
        <f t="shared" si="117"/>
        <v>Пустая строка (убрать галочку)</v>
      </c>
    </row>
    <row r="650" spans="1:10" hidden="1">
      <c r="A650" s="13"/>
      <c r="B650" s="13"/>
      <c r="C650" s="13"/>
      <c r="D650" s="14"/>
      <c r="J650" s="362" t="str">
        <f>IF($F$27=0,"Пустая строка (убрать галочку)",1)</f>
        <v>Пустая строка (убрать галочку)</v>
      </c>
    </row>
    <row r="651" spans="1:10" ht="47.25" hidden="1" customHeight="1">
      <c r="A65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651" s="382"/>
      <c r="C651" s="61"/>
      <c r="D651" s="48" t="str">
        <f>'Анализ стоимости'!$I$101</f>
        <v>Шестопал О.Н.</v>
      </c>
      <c r="G651" s="43" t="str">
        <f>A651</f>
        <v>Специалист администрации Старонижестеблиевского сельского поселения Красноармейского района</v>
      </c>
      <c r="J651" s="362" t="str">
        <f>IF($F$27=0,"Пустая строка (убрать галочку)",1)</f>
        <v>Пустая строка (убрать галочку)</v>
      </c>
    </row>
    <row r="652" spans="1:10" hidden="1">
      <c r="A652" s="49"/>
      <c r="B652" s="49"/>
      <c r="C652" s="49"/>
      <c r="D652" s="50"/>
      <c r="J652" s="362" t="str">
        <f>IF($F$27=0,"Пустая строка (убрать галочку)",1)</f>
        <v>Пустая строка (убрать галочку)</v>
      </c>
    </row>
    <row r="653" spans="1:10" hidden="1">
      <c r="A653" s="375"/>
      <c r="B653" s="375"/>
      <c r="C653" s="3"/>
      <c r="D653" s="3"/>
      <c r="J653" s="362" t="str">
        <f>IF($F$27=0,"Пустая строка (убрать галочку)",1)</f>
        <v>Пустая строка (убрать галочку)</v>
      </c>
    </row>
    <row r="654" spans="1:10" hidden="1">
      <c r="A654" s="385" t="s">
        <v>146</v>
      </c>
      <c r="B654" s="385"/>
      <c r="C654" s="385"/>
      <c r="D654" s="385"/>
      <c r="G654" s="37"/>
      <c r="H654" s="37"/>
      <c r="J654" s="362" t="str">
        <f t="shared" ref="J654:J671" si="118">IF($F$28=0,"Пустая строка (убрать галочку)",1)</f>
        <v>Пустая строка (убрать галочку)</v>
      </c>
    </row>
    <row r="655" spans="1:10" ht="47.25" hidden="1" customHeight="1">
      <c r="A655" s="376" t="str">
        <f>CONCATENATE("Наименование объекта: ",VLOOKUP($F$28,таблица,9,0))</f>
        <v xml:space="preserve">Наименование объекта: </v>
      </c>
      <c r="B655" s="376"/>
      <c r="C655" s="376"/>
      <c r="D655" s="376"/>
      <c r="I655" s="58" t="str">
        <f>A655</f>
        <v xml:space="preserve">Наименование объекта: </v>
      </c>
      <c r="J655" s="362" t="str">
        <f t="shared" si="118"/>
        <v>Пустая строка (убрать галочку)</v>
      </c>
    </row>
    <row r="656" spans="1:10" hidden="1">
      <c r="A656" s="30"/>
      <c r="B656" s="25"/>
      <c r="C656" s="25"/>
      <c r="D656" s="25"/>
      <c r="J656" s="362" t="str">
        <f t="shared" si="118"/>
        <v>Пустая строка (убрать галочку)</v>
      </c>
    </row>
    <row r="657" spans="1:10" hidden="1">
      <c r="A657" s="29" t="s">
        <v>111</v>
      </c>
      <c r="B657" s="22"/>
      <c r="C657" s="22"/>
      <c r="D657" s="22"/>
      <c r="J657" s="362" t="str">
        <f t="shared" si="118"/>
        <v>Пустая строка (убрать галочку)</v>
      </c>
    </row>
    <row r="658" spans="1:10" hidden="1">
      <c r="A658" s="383" t="s">
        <v>112</v>
      </c>
      <c r="B658" s="383"/>
      <c r="C658" s="383"/>
      <c r="D658" s="383"/>
      <c r="J658" s="362" t="str">
        <f t="shared" si="118"/>
        <v>Пустая строка (убрать галочку)</v>
      </c>
    </row>
    <row r="659" spans="1:10" ht="47.25" hidden="1">
      <c r="A659" s="63" t="s">
        <v>67</v>
      </c>
      <c r="B659" s="63" t="s">
        <v>98</v>
      </c>
      <c r="C659" s="377" t="str">
        <f>CONCATENATE("Стоимость  согласно сметной документации (руб.) в текущих ценах по состоянию на ",VLOOKUP($F$28,таблица,5,0)," г.")</f>
        <v>Стоимость  согласно сметной документации (руб.) в текущих ценах по состоянию на  г.</v>
      </c>
      <c r="D659" s="378"/>
      <c r="H659" s="44" t="str">
        <f>C659</f>
        <v>Стоимость  согласно сметной документации (руб.) в текущих ценах по состоянию на  г.</v>
      </c>
      <c r="J659" s="362" t="str">
        <f t="shared" si="118"/>
        <v>Пустая строка (убрать галочку)</v>
      </c>
    </row>
    <row r="660" spans="1:10" hidden="1">
      <c r="A660" s="33">
        <v>1</v>
      </c>
      <c r="B660" s="32" t="s">
        <v>46</v>
      </c>
      <c r="C660" s="379">
        <f>VLOOKUP($F$28,таблица,10,0)</f>
        <v>0</v>
      </c>
      <c r="D660" s="380"/>
      <c r="J660" s="362" t="str">
        <f t="shared" si="118"/>
        <v>Пустая строка (убрать галочку)</v>
      </c>
    </row>
    <row r="661" spans="1:10" hidden="1">
      <c r="A661" s="33">
        <v>2</v>
      </c>
      <c r="B661" s="32" t="s">
        <v>41</v>
      </c>
      <c r="C661" s="379">
        <f>VLOOKUP($F$28,таблица,11,0)</f>
        <v>0</v>
      </c>
      <c r="D661" s="380"/>
      <c r="J661" s="362" t="str">
        <f t="shared" si="118"/>
        <v>Пустая строка (убрать галочку)</v>
      </c>
    </row>
    <row r="662" spans="1:10" ht="31.5" hidden="1">
      <c r="A662" s="33">
        <v>3</v>
      </c>
      <c r="B662" s="32" t="s">
        <v>3</v>
      </c>
      <c r="C662" s="379">
        <f>VLOOKUP($F$28,таблица,12,0)</f>
        <v>0</v>
      </c>
      <c r="D662" s="380"/>
      <c r="J662" s="362" t="str">
        <f t="shared" si="118"/>
        <v>Пустая строка (убрать галочку)</v>
      </c>
    </row>
    <row r="663" spans="1:10" hidden="1">
      <c r="A663" s="33">
        <v>4</v>
      </c>
      <c r="B663" s="32" t="s">
        <v>42</v>
      </c>
      <c r="C663" s="379">
        <f>VLOOKUP($F$28,таблица,13,0)</f>
        <v>0</v>
      </c>
      <c r="D663" s="380"/>
      <c r="J663" s="362" t="str">
        <f t="shared" si="118"/>
        <v>Пустая строка (убрать галочку)</v>
      </c>
    </row>
    <row r="664" spans="1:10" hidden="1">
      <c r="A664" s="33">
        <v>5</v>
      </c>
      <c r="B664" s="32" t="s">
        <v>5</v>
      </c>
      <c r="C664" s="379">
        <f>VLOOKUP($F$28,таблица,14,0)</f>
        <v>0</v>
      </c>
      <c r="D664" s="380"/>
      <c r="J664" s="362" t="str">
        <f t="shared" si="118"/>
        <v>Пустая строка (убрать галочку)</v>
      </c>
    </row>
    <row r="665" spans="1:10" hidden="1">
      <c r="A665" s="33">
        <v>6</v>
      </c>
      <c r="B665" s="32" t="s">
        <v>12</v>
      </c>
      <c r="C665" s="379">
        <f>VLOOKUP($F$28,таблица,18,0)</f>
        <v>0</v>
      </c>
      <c r="D665" s="380"/>
      <c r="J665" s="362" t="str">
        <f t="shared" si="118"/>
        <v>Пустая строка (убрать галочку)</v>
      </c>
    </row>
    <row r="666" spans="1:10" hidden="1">
      <c r="A666" s="33">
        <v>7</v>
      </c>
      <c r="B666" s="32" t="s">
        <v>88</v>
      </c>
      <c r="C666" s="379">
        <f>VLOOKUP($F$28,таблица,19,0)+VLOOKUP($F$28,таблица,21,0)+VLOOKUP($F$28,таблица,22,0)+VLOOKUP($F$28,таблица,23,0)+VLOOKUP($F$28,таблица,24,0)+VLOOKUP($F$28,таблица,25,0)+VLOOKUP($F$28,таблица,26,0)</f>
        <v>0</v>
      </c>
      <c r="D666" s="380"/>
      <c r="J666" s="362" t="str">
        <f t="shared" si="118"/>
        <v>Пустая строка (убрать галочку)</v>
      </c>
    </row>
    <row r="667" spans="1:10" hidden="1">
      <c r="A667" s="33">
        <v>8</v>
      </c>
      <c r="B667" s="32" t="s">
        <v>62</v>
      </c>
      <c r="C667" s="379">
        <f>VLOOKUP($F$28,таблица,31,0)</f>
        <v>0</v>
      </c>
      <c r="D667" s="380"/>
      <c r="J667" s="362" t="str">
        <f t="shared" si="118"/>
        <v>Пустая строка (убрать галочку)</v>
      </c>
    </row>
    <row r="668" spans="1:10" hidden="1">
      <c r="A668" s="33">
        <v>9</v>
      </c>
      <c r="B668" s="32" t="s">
        <v>127</v>
      </c>
      <c r="C668" s="379">
        <f>SUM(C660:D667)</f>
        <v>0</v>
      </c>
      <c r="D668" s="380"/>
      <c r="J668" s="362" t="str">
        <f t="shared" si="118"/>
        <v>Пустая строка (убрать галочку)</v>
      </c>
    </row>
    <row r="669" spans="1:10" hidden="1">
      <c r="A669" s="384" t="s">
        <v>122</v>
      </c>
      <c r="B669" s="384"/>
      <c r="C669" s="384"/>
      <c r="D669" s="384"/>
      <c r="J669" s="362" t="str">
        <f t="shared" si="118"/>
        <v>Пустая строка (убрать галочку)</v>
      </c>
    </row>
    <row r="670" spans="1:10" ht="31.5" hidden="1">
      <c r="A670" s="35" t="s">
        <v>67</v>
      </c>
      <c r="B670" s="63" t="s">
        <v>21</v>
      </c>
      <c r="C670" s="63" t="s">
        <v>114</v>
      </c>
      <c r="D670" s="63" t="s">
        <v>99</v>
      </c>
      <c r="J670" s="362" t="str">
        <f t="shared" si="118"/>
        <v>Пустая строка (убрать галочку)</v>
      </c>
    </row>
    <row r="671" spans="1:10" hidden="1">
      <c r="A671" s="33">
        <v>10</v>
      </c>
      <c r="B671" s="33" t="e">
        <f>VLOOKUP((VLOOKUP($F$28,таблица,8,0)),рем_содер,2,0)</f>
        <v>#N/A</v>
      </c>
      <c r="C671" s="33"/>
      <c r="D671" s="32"/>
      <c r="J671" s="362" t="str">
        <f t="shared" si="118"/>
        <v>Пустая строка (убрать галочку)</v>
      </c>
    </row>
    <row r="672" spans="1:10" hidden="1">
      <c r="A672" s="33">
        <f>IF(D672=0,0,A671+1)</f>
        <v>0</v>
      </c>
      <c r="B672" s="32" t="e">
        <f>CONCATENATE('Анализ стоимости'!$AW$1," г (",CHOOSE(VLOOKUP(F$28,таблица,43,0),"Январь","Февраль","Март","Апрель","Май","Июнь","Июль","Август","Сентябрь","Октябрь","Ноябрь","Декабрь")," - ",CHOOSE(VLOOKUP(F$28,таблица,44,0),"Январь","Февраль","Март","Апрель","Май","Июнь","Июль","Август","Сентябрь","Октябрь","Ноябрь","Декабрь"),")")</f>
        <v>#VALUE!</v>
      </c>
      <c r="C672" s="33" t="s">
        <v>115</v>
      </c>
      <c r="D672" s="55">
        <f>IF(D674=0,0,VLOOKUP($F$28,таблица,49,0)*100+100)</f>
        <v>0</v>
      </c>
      <c r="J672" s="362" t="str">
        <f>IF(D672=0,"Пустая строка (убрать галочку)",1)</f>
        <v>Пустая строка (убрать галочку)</v>
      </c>
    </row>
    <row r="673" spans="1:10" hidden="1">
      <c r="A673" s="33">
        <f>IF(D673=0,0,IF(D672=0,A671+1,A672+1))</f>
        <v>0</v>
      </c>
      <c r="B673" s="32" t="e">
        <f>CONCATENATE('Анализ стоимости'!$AX$1," г (",CHOOSE(VLOOKUP(F$28,таблица,45,0),"Январь","Февраль","Март","Апрель","Май","Июнь","Июль","Август","Сентябрь","Октябрь","Ноябрь","Декабрь")," - ",CHOOSE(VLOOKUP(F$28,таблица,46,0),"Январь","Февраль","Март","Апрель","Май","Июнь","Июль","Август","Сентябрь","Октябрь","Ноябрь","Декабрь"),")")</f>
        <v>#VALUE!</v>
      </c>
      <c r="C673" s="33" t="s">
        <v>115</v>
      </c>
      <c r="D673" s="55">
        <f>IF(D675=0,0,VLOOKUP($F$28,таблица,50,0)*100+100)</f>
        <v>0</v>
      </c>
      <c r="J673" s="362" t="str">
        <f>IF(D673=0,"Пустая строка (убрать галочку)",1)</f>
        <v>Пустая строка (убрать галочку)</v>
      </c>
    </row>
    <row r="674" spans="1:10" hidden="1">
      <c r="A674" s="33">
        <f>IF(D674=0,0,IF(D673=0,A672+1,A673+1))</f>
        <v>0</v>
      </c>
      <c r="B674" s="32" t="str">
        <f>"Рост стоимости "&amp;'Анализ стоимости'!$AW$1&amp;" г."</f>
        <v>Рост стоимости 2018 г.</v>
      </c>
      <c r="C674" s="33" t="s">
        <v>116</v>
      </c>
      <c r="D674" s="34">
        <f>VLOOKUP($F$28,таблица,38,0)</f>
        <v>0</v>
      </c>
      <c r="J674" s="362" t="str">
        <f>IF(D674=0,"Пустая строка (убрать галочку)",1)</f>
        <v>Пустая строка (убрать галочку)</v>
      </c>
    </row>
    <row r="675" spans="1:10" hidden="1">
      <c r="A675" s="33">
        <f>IF(D675=0,0,IF(D674=0,A673+1,A674+1))</f>
        <v>0</v>
      </c>
      <c r="B675" s="32" t="str">
        <f>"Рост стоимости "&amp;'Анализ стоимости'!$AX$1&amp;" г."</f>
        <v>Рост стоимости 2019 г.</v>
      </c>
      <c r="C675" s="33" t="s">
        <v>116</v>
      </c>
      <c r="D675" s="34">
        <f>VLOOKUP($F$28,таблица,40,0)</f>
        <v>0</v>
      </c>
      <c r="J675" s="362" t="str">
        <f>IF(D675=0,"Пустая строка (убрать галочку)",1)</f>
        <v>Пустая строка (убрать галочку)</v>
      </c>
    </row>
    <row r="676" spans="1:10" hidden="1">
      <c r="A676" s="384" t="s">
        <v>117</v>
      </c>
      <c r="B676" s="384"/>
      <c r="C676" s="384"/>
      <c r="D676" s="384"/>
      <c r="J676" s="362" t="str">
        <f>IF($F$28=0,"Пустая строка (убрать галочку)",1)</f>
        <v>Пустая строка (убрать галочку)</v>
      </c>
    </row>
    <row r="677" spans="1:10" ht="31.5" hidden="1">
      <c r="A677" s="33">
        <f>IF(D677=0,0,IF(D675=0,IF(D674=0,A671+1,A674+1),A675+1))</f>
        <v>0</v>
      </c>
      <c r="B67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677" s="33" t="s">
        <v>116</v>
      </c>
      <c r="D677" s="34">
        <f>SUM(VLOOKUP($F$28,таблица,37,0),D674)</f>
        <v>0</v>
      </c>
      <c r="E677" s="7"/>
      <c r="J677" s="362" t="str">
        <f t="shared" ref="J677:J683" si="119">IF(D677=0,"Пустая строка (убрать галочку)",1)</f>
        <v>Пустая строка (убрать галочку)</v>
      </c>
    </row>
    <row r="678" spans="1:10" hidden="1">
      <c r="A678" s="33">
        <f>IF(D678=0,0,A677+1)</f>
        <v>0</v>
      </c>
      <c r="B678" s="45" t="s">
        <v>119</v>
      </c>
      <c r="C678" s="33" t="s">
        <v>116</v>
      </c>
      <c r="D678" s="34">
        <f>VLOOKUP($F$28,таблица,39,0)</f>
        <v>0</v>
      </c>
      <c r="E678" s="7"/>
      <c r="J678" s="362" t="str">
        <f t="shared" si="119"/>
        <v>Пустая строка (убрать галочку)</v>
      </c>
    </row>
    <row r="679" spans="1:10" hidden="1">
      <c r="A679" s="33">
        <f>IF(D679=0,0,A678+1)</f>
        <v>0</v>
      </c>
      <c r="B679" s="45" t="str">
        <f>"Всего с НДС на "&amp;'Анализ стоимости'!$AW$1&amp;" г."</f>
        <v>Всего с НДС на 2018 г.</v>
      </c>
      <c r="C679" s="33" t="s">
        <v>116</v>
      </c>
      <c r="D679" s="46">
        <f>SUM(D677:D678)</f>
        <v>0</v>
      </c>
      <c r="E679" s="56">
        <f>VLOOKUP($F$28,таблица,51,0)</f>
        <v>0</v>
      </c>
      <c r="J679" s="362" t="str">
        <f t="shared" si="119"/>
        <v>Пустая строка (убрать галочку)</v>
      </c>
    </row>
    <row r="680" spans="1:10" ht="31.5" hidden="1">
      <c r="A680" s="33">
        <f>IF(D680=0,0,IF(D679=0,IF(D675=0,A671+1,A675+1),A679+1))</f>
        <v>0</v>
      </c>
      <c r="B68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680" s="33" t="s">
        <v>116</v>
      </c>
      <c r="D680" s="34">
        <f>VLOOKUP($F$28,таблица,36,0)-VLOOKUP($F$28,таблица,37,0)+D675</f>
        <v>0</v>
      </c>
      <c r="J680" s="362" t="str">
        <f t="shared" si="119"/>
        <v>Пустая строка (убрать галочку)</v>
      </c>
    </row>
    <row r="681" spans="1:10" hidden="1">
      <c r="A681" s="33">
        <f>IF(D681=0,0,A680+1)</f>
        <v>0</v>
      </c>
      <c r="B681" s="45" t="s">
        <v>119</v>
      </c>
      <c r="C681" s="33" t="s">
        <v>116</v>
      </c>
      <c r="D681" s="34">
        <f>VLOOKUP($F$28,таблица,41,0)</f>
        <v>0</v>
      </c>
      <c r="J681" s="362" t="str">
        <f t="shared" si="119"/>
        <v>Пустая строка (убрать галочку)</v>
      </c>
    </row>
    <row r="682" spans="1:10" hidden="1">
      <c r="A682" s="33">
        <f>IF(D682=0,0,A681+1)</f>
        <v>0</v>
      </c>
      <c r="B682" s="45" t="str">
        <f>"Всего с НДС на "&amp;'Анализ стоимости'!$AX$1&amp;" г."</f>
        <v>Всего с НДС на 2019 г.</v>
      </c>
      <c r="C682" s="33" t="s">
        <v>116</v>
      </c>
      <c r="D682" s="46">
        <f>SUM(D680:D681)</f>
        <v>0</v>
      </c>
      <c r="E682" s="56">
        <f>VLOOKUP($F$28,таблица,52,0)</f>
        <v>0</v>
      </c>
      <c r="J682" s="362" t="str">
        <f t="shared" si="119"/>
        <v>Пустая строка (убрать галочку)</v>
      </c>
    </row>
    <row r="683" spans="1:10" hidden="1">
      <c r="A683" s="33">
        <f>IF(D683=0,0,A682+1)</f>
        <v>0</v>
      </c>
      <c r="B683" s="45" t="s">
        <v>118</v>
      </c>
      <c r="C683" s="33" t="s">
        <v>116</v>
      </c>
      <c r="D683" s="46">
        <f>IF(OR(D679=0,D682=0),0,D682+D679)</f>
        <v>0</v>
      </c>
      <c r="E683" s="56">
        <f>VLOOKUP($F$28,таблица,42,0)</f>
        <v>0</v>
      </c>
      <c r="J683" s="362" t="str">
        <f t="shared" si="119"/>
        <v>Пустая строка (убрать галочку)</v>
      </c>
    </row>
    <row r="684" spans="1:10" hidden="1">
      <c r="A684" s="13"/>
      <c r="B684" s="13"/>
      <c r="C684" s="13"/>
      <c r="D684" s="14"/>
      <c r="J684" s="362" t="str">
        <f>IF($F$28=0,"Пустая строка (убрать галочку)",1)</f>
        <v>Пустая строка (убрать галочку)</v>
      </c>
    </row>
    <row r="685" spans="1:10" ht="47.25" hidden="1" customHeight="1">
      <c r="A68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685" s="382"/>
      <c r="C685" s="61"/>
      <c r="D685" s="48" t="str">
        <f>'Анализ стоимости'!$I$101</f>
        <v>Шестопал О.Н.</v>
      </c>
      <c r="G685" s="43" t="str">
        <f>A685</f>
        <v>Специалист администрации Старонижестеблиевского сельского поселения Красноармейского района</v>
      </c>
      <c r="J685" s="362" t="str">
        <f>IF($F$28=0,"Пустая строка (убрать галочку)",1)</f>
        <v>Пустая строка (убрать галочку)</v>
      </c>
    </row>
    <row r="686" spans="1:10" hidden="1">
      <c r="A686" s="49"/>
      <c r="B686" s="49"/>
      <c r="C686" s="49"/>
      <c r="D686" s="50"/>
      <c r="J686" s="362" t="str">
        <f>IF($F$28=0,"Пустая строка (убрать галочку)",1)</f>
        <v>Пустая строка (убрать галочку)</v>
      </c>
    </row>
    <row r="687" spans="1:10" hidden="1">
      <c r="A687" s="375"/>
      <c r="B687" s="375"/>
      <c r="C687" s="3"/>
      <c r="D687" s="3"/>
      <c r="J687" s="362" t="str">
        <f>IF($F$28=0,"Пустая строка (убрать галочку)",1)</f>
        <v>Пустая строка (убрать галочку)</v>
      </c>
    </row>
    <row r="688" spans="1:10" hidden="1">
      <c r="A688" s="385" t="s">
        <v>147</v>
      </c>
      <c r="B688" s="385"/>
      <c r="C688" s="385"/>
      <c r="D688" s="385"/>
      <c r="G688" s="37"/>
      <c r="H688" s="37"/>
      <c r="J688" s="362" t="str">
        <f t="shared" ref="J688:J705" si="120">IF($F$29=0,"Пустая строка (убрать галочку)",1)</f>
        <v>Пустая строка (убрать галочку)</v>
      </c>
    </row>
    <row r="689" spans="1:10" ht="47.25" hidden="1" customHeight="1">
      <c r="A689" s="376" t="str">
        <f>CONCATENATE("Наименование объекта: ",VLOOKUP($F$29,таблица,9,0))</f>
        <v xml:space="preserve">Наименование объекта: </v>
      </c>
      <c r="B689" s="376"/>
      <c r="C689" s="376"/>
      <c r="D689" s="376"/>
      <c r="I689" s="58" t="str">
        <f>A689</f>
        <v xml:space="preserve">Наименование объекта: </v>
      </c>
      <c r="J689" s="362" t="str">
        <f t="shared" si="120"/>
        <v>Пустая строка (убрать галочку)</v>
      </c>
    </row>
    <row r="690" spans="1:10" hidden="1">
      <c r="A690" s="30"/>
      <c r="B690" s="25"/>
      <c r="C690" s="25"/>
      <c r="D690" s="25"/>
      <c r="J690" s="362" t="str">
        <f t="shared" si="120"/>
        <v>Пустая строка (убрать галочку)</v>
      </c>
    </row>
    <row r="691" spans="1:10" hidden="1">
      <c r="A691" s="29" t="s">
        <v>111</v>
      </c>
      <c r="B691" s="22"/>
      <c r="C691" s="22"/>
      <c r="D691" s="22"/>
      <c r="J691" s="362" t="str">
        <f t="shared" si="120"/>
        <v>Пустая строка (убрать галочку)</v>
      </c>
    </row>
    <row r="692" spans="1:10" hidden="1">
      <c r="A692" s="383" t="s">
        <v>112</v>
      </c>
      <c r="B692" s="383"/>
      <c r="C692" s="383"/>
      <c r="D692" s="383"/>
      <c r="J692" s="362" t="str">
        <f t="shared" si="120"/>
        <v>Пустая строка (убрать галочку)</v>
      </c>
    </row>
    <row r="693" spans="1:10" ht="47.25" hidden="1">
      <c r="A693" s="63" t="s">
        <v>67</v>
      </c>
      <c r="B693" s="63" t="s">
        <v>98</v>
      </c>
      <c r="C693" s="377" t="str">
        <f>CONCATENATE("Стоимость  согласно сметной документации (руб.) в текущих ценах по состоянию на ",VLOOKUP($F$29,таблица,5,0)," г.")</f>
        <v>Стоимость  согласно сметной документации (руб.) в текущих ценах по состоянию на  г.</v>
      </c>
      <c r="D693" s="378"/>
      <c r="H693" s="44" t="str">
        <f>C693</f>
        <v>Стоимость  согласно сметной документации (руб.) в текущих ценах по состоянию на  г.</v>
      </c>
      <c r="J693" s="362" t="str">
        <f t="shared" si="120"/>
        <v>Пустая строка (убрать галочку)</v>
      </c>
    </row>
    <row r="694" spans="1:10" hidden="1">
      <c r="A694" s="33">
        <v>1</v>
      </c>
      <c r="B694" s="32" t="s">
        <v>46</v>
      </c>
      <c r="C694" s="379">
        <f>VLOOKUP($F$29,таблица,10,0)</f>
        <v>0</v>
      </c>
      <c r="D694" s="380"/>
      <c r="J694" s="362" t="str">
        <f t="shared" si="120"/>
        <v>Пустая строка (убрать галочку)</v>
      </c>
    </row>
    <row r="695" spans="1:10" hidden="1">
      <c r="A695" s="33">
        <v>2</v>
      </c>
      <c r="B695" s="32" t="s">
        <v>41</v>
      </c>
      <c r="C695" s="379">
        <f>VLOOKUP($F$29,таблица,11,0)</f>
        <v>0</v>
      </c>
      <c r="D695" s="380"/>
      <c r="J695" s="362" t="str">
        <f t="shared" si="120"/>
        <v>Пустая строка (убрать галочку)</v>
      </c>
    </row>
    <row r="696" spans="1:10" ht="31.5" hidden="1">
      <c r="A696" s="33">
        <v>3</v>
      </c>
      <c r="B696" s="32" t="s">
        <v>3</v>
      </c>
      <c r="C696" s="379">
        <f>VLOOKUP($F$29,таблица,12,0)</f>
        <v>0</v>
      </c>
      <c r="D696" s="380"/>
      <c r="J696" s="362" t="str">
        <f t="shared" si="120"/>
        <v>Пустая строка (убрать галочку)</v>
      </c>
    </row>
    <row r="697" spans="1:10" hidden="1">
      <c r="A697" s="33">
        <v>4</v>
      </c>
      <c r="B697" s="32" t="s">
        <v>42</v>
      </c>
      <c r="C697" s="379">
        <f>VLOOKUP($F$29,таблица,13,0)</f>
        <v>0</v>
      </c>
      <c r="D697" s="380"/>
      <c r="J697" s="362" t="str">
        <f t="shared" si="120"/>
        <v>Пустая строка (убрать галочку)</v>
      </c>
    </row>
    <row r="698" spans="1:10" hidden="1">
      <c r="A698" s="33">
        <v>5</v>
      </c>
      <c r="B698" s="32" t="s">
        <v>5</v>
      </c>
      <c r="C698" s="379">
        <f>VLOOKUP($F$29,таблица,14,0)</f>
        <v>0</v>
      </c>
      <c r="D698" s="380"/>
      <c r="J698" s="362" t="str">
        <f t="shared" si="120"/>
        <v>Пустая строка (убрать галочку)</v>
      </c>
    </row>
    <row r="699" spans="1:10" hidden="1">
      <c r="A699" s="33">
        <v>6</v>
      </c>
      <c r="B699" s="32" t="s">
        <v>12</v>
      </c>
      <c r="C699" s="379">
        <f>VLOOKUP($F$29,таблица,18,0)</f>
        <v>0</v>
      </c>
      <c r="D699" s="380"/>
      <c r="J699" s="362" t="str">
        <f t="shared" si="120"/>
        <v>Пустая строка (убрать галочку)</v>
      </c>
    </row>
    <row r="700" spans="1:10" hidden="1">
      <c r="A700" s="33">
        <v>7</v>
      </c>
      <c r="B700" s="32" t="s">
        <v>88</v>
      </c>
      <c r="C700" s="379">
        <f>VLOOKUP($F$29,таблица,19,0)+VLOOKUP($F$29,таблица,21,0)+VLOOKUP($F$29,таблица,22,0)+VLOOKUP($F$29,таблица,23,0)+VLOOKUP($F$29,таблица,24,0)+VLOOKUP($F$29,таблица,25,0)+VLOOKUP($F$29,таблица,26,0)</f>
        <v>0</v>
      </c>
      <c r="D700" s="380"/>
      <c r="J700" s="362" t="str">
        <f t="shared" si="120"/>
        <v>Пустая строка (убрать галочку)</v>
      </c>
    </row>
    <row r="701" spans="1:10" hidden="1">
      <c r="A701" s="33">
        <v>8</v>
      </c>
      <c r="B701" s="32" t="s">
        <v>62</v>
      </c>
      <c r="C701" s="379">
        <f>VLOOKUP($F$29,таблица,31,0)</f>
        <v>0</v>
      </c>
      <c r="D701" s="380"/>
      <c r="J701" s="362" t="str">
        <f t="shared" si="120"/>
        <v>Пустая строка (убрать галочку)</v>
      </c>
    </row>
    <row r="702" spans="1:10" hidden="1">
      <c r="A702" s="33">
        <v>9</v>
      </c>
      <c r="B702" s="32" t="s">
        <v>127</v>
      </c>
      <c r="C702" s="379">
        <f>SUM(C694:D701)</f>
        <v>0</v>
      </c>
      <c r="D702" s="380"/>
      <c r="J702" s="362" t="str">
        <f t="shared" si="120"/>
        <v>Пустая строка (убрать галочку)</v>
      </c>
    </row>
    <row r="703" spans="1:10" hidden="1">
      <c r="A703" s="384" t="s">
        <v>122</v>
      </c>
      <c r="B703" s="384"/>
      <c r="C703" s="384"/>
      <c r="D703" s="384"/>
      <c r="J703" s="362" t="str">
        <f t="shared" si="120"/>
        <v>Пустая строка (убрать галочку)</v>
      </c>
    </row>
    <row r="704" spans="1:10" ht="31.5" hidden="1">
      <c r="A704" s="35" t="s">
        <v>67</v>
      </c>
      <c r="B704" s="63" t="s">
        <v>21</v>
      </c>
      <c r="C704" s="63" t="s">
        <v>114</v>
      </c>
      <c r="D704" s="63" t="s">
        <v>99</v>
      </c>
      <c r="J704" s="362" t="str">
        <f t="shared" si="120"/>
        <v>Пустая строка (убрать галочку)</v>
      </c>
    </row>
    <row r="705" spans="1:10" hidden="1">
      <c r="A705" s="33">
        <v>10</v>
      </c>
      <c r="B705" s="33" t="e">
        <f>VLOOKUP((VLOOKUP($F$29,таблица,8,0)),рем_содер,2,0)</f>
        <v>#N/A</v>
      </c>
      <c r="C705" s="33"/>
      <c r="D705" s="32"/>
      <c r="J705" s="362" t="str">
        <f t="shared" si="120"/>
        <v>Пустая строка (убрать галочку)</v>
      </c>
    </row>
    <row r="706" spans="1:10" hidden="1">
      <c r="A706" s="33">
        <f>IF(D706=0,0,A705+1)</f>
        <v>0</v>
      </c>
      <c r="B706" s="32" t="e">
        <f>CONCATENATE('Анализ стоимости'!$AW$1," г (",CHOOSE(VLOOKUP(F$29,таблица,43,0),"Январь","Февраль","Март","Апрель","Май","Июнь","Июль","Август","Сентябрь","Октябрь","Ноябрь","Декабрь")," - ",CHOOSE(VLOOKUP(F$29,таблица,44,0),"Январь","Февраль","Март","Апрель","Май","Июнь","Июль","Август","Сентябрь","Октябрь","Ноябрь","Декабрь"),")")</f>
        <v>#VALUE!</v>
      </c>
      <c r="C706" s="33" t="s">
        <v>115</v>
      </c>
      <c r="D706" s="55">
        <f>IF(D708=0,0,VLOOKUP($F$29,таблица,49,0)*100+100)</f>
        <v>0</v>
      </c>
      <c r="J706" s="362" t="str">
        <f>IF(D706=0,"Пустая строка (убрать галочку)",1)</f>
        <v>Пустая строка (убрать галочку)</v>
      </c>
    </row>
    <row r="707" spans="1:10" hidden="1">
      <c r="A707" s="33">
        <f>IF(D707=0,0,IF(D706=0,A705+1,A706+1))</f>
        <v>0</v>
      </c>
      <c r="B707" s="32" t="e">
        <f>CONCATENATE('Анализ стоимости'!$AX$1," г (",CHOOSE(VLOOKUP(F$29,таблица,45,0),"Январь","Февраль","Март","Апрель","Май","Июнь","Июль","Август","Сентябрь","Октябрь","Ноябрь","Декабрь")," - ",CHOOSE(VLOOKUP(F$29,таблица,46,0),"Январь","Февраль","Март","Апрель","Май","Июнь","Июль","Август","Сентябрь","Октябрь","Ноябрь","Декабрь"),")")</f>
        <v>#VALUE!</v>
      </c>
      <c r="C707" s="33" t="s">
        <v>115</v>
      </c>
      <c r="D707" s="55">
        <f>IF(D709=0,0,VLOOKUP($F$29,таблица,50,0)*100+100)</f>
        <v>0</v>
      </c>
      <c r="J707" s="362" t="str">
        <f>IF(D707=0,"Пустая строка (убрать галочку)",1)</f>
        <v>Пустая строка (убрать галочку)</v>
      </c>
    </row>
    <row r="708" spans="1:10" hidden="1">
      <c r="A708" s="33">
        <f>IF(D708=0,0,IF(D707=0,A706+1,A707+1))</f>
        <v>0</v>
      </c>
      <c r="B708" s="32" t="str">
        <f>"Рост стоимости "&amp;'Анализ стоимости'!$AW$1&amp;" г."</f>
        <v>Рост стоимости 2018 г.</v>
      </c>
      <c r="C708" s="33" t="s">
        <v>116</v>
      </c>
      <c r="D708" s="34">
        <f>VLOOKUP($F$29,таблица,38,0)</f>
        <v>0</v>
      </c>
      <c r="J708" s="362" t="str">
        <f>IF(D708=0,"Пустая строка (убрать галочку)",1)</f>
        <v>Пустая строка (убрать галочку)</v>
      </c>
    </row>
    <row r="709" spans="1:10" hidden="1">
      <c r="A709" s="33">
        <f>IF(D709=0,0,IF(D708=0,A707+1,A708+1))</f>
        <v>0</v>
      </c>
      <c r="B709" s="32" t="str">
        <f>"Рост стоимости "&amp;'Анализ стоимости'!$AX$1&amp;" г."</f>
        <v>Рост стоимости 2019 г.</v>
      </c>
      <c r="C709" s="33" t="s">
        <v>116</v>
      </c>
      <c r="D709" s="34">
        <f>VLOOKUP($F$29,таблица,40,0)</f>
        <v>0</v>
      </c>
      <c r="J709" s="362" t="str">
        <f>IF(D709=0,"Пустая строка (убрать галочку)",1)</f>
        <v>Пустая строка (убрать галочку)</v>
      </c>
    </row>
    <row r="710" spans="1:10" hidden="1">
      <c r="A710" s="384" t="s">
        <v>117</v>
      </c>
      <c r="B710" s="384"/>
      <c r="C710" s="384"/>
      <c r="D710" s="384"/>
      <c r="J710" s="362" t="str">
        <f>IF($F$29=0,"Пустая строка (убрать галочку)",1)</f>
        <v>Пустая строка (убрать галочку)</v>
      </c>
    </row>
    <row r="711" spans="1:10" ht="31.5" hidden="1">
      <c r="A711" s="33">
        <f>IF(D711=0,0,IF(D709=0,IF(D708=0,A705+1,A708+1),A709+1))</f>
        <v>0</v>
      </c>
      <c r="B71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711" s="33" t="s">
        <v>116</v>
      </c>
      <c r="D711" s="34">
        <f>SUM(VLOOKUP($F$29,таблица,37,0),D708)</f>
        <v>0</v>
      </c>
      <c r="E711" s="7"/>
      <c r="J711" s="362" t="str">
        <f t="shared" ref="J711:J717" si="121">IF(D711=0,"Пустая строка (убрать галочку)",1)</f>
        <v>Пустая строка (убрать галочку)</v>
      </c>
    </row>
    <row r="712" spans="1:10" hidden="1">
      <c r="A712" s="33">
        <f>IF(D712=0,0,A711+1)</f>
        <v>0</v>
      </c>
      <c r="B712" s="45" t="s">
        <v>119</v>
      </c>
      <c r="C712" s="33" t="s">
        <v>116</v>
      </c>
      <c r="D712" s="34">
        <f>VLOOKUP($F$29,таблица,39,0)</f>
        <v>0</v>
      </c>
      <c r="E712" s="7"/>
      <c r="J712" s="362" t="str">
        <f t="shared" si="121"/>
        <v>Пустая строка (убрать галочку)</v>
      </c>
    </row>
    <row r="713" spans="1:10" hidden="1">
      <c r="A713" s="33">
        <f>IF(D713=0,0,A712+1)</f>
        <v>0</v>
      </c>
      <c r="B713" s="45" t="str">
        <f>"Всего с НДС на "&amp;'Анализ стоимости'!$AW$1&amp;" г."</f>
        <v>Всего с НДС на 2018 г.</v>
      </c>
      <c r="C713" s="33" t="s">
        <v>116</v>
      </c>
      <c r="D713" s="46">
        <f>SUM(D711:D712)</f>
        <v>0</v>
      </c>
      <c r="E713" s="56">
        <f>VLOOKUP($F$29,таблица,51,0)</f>
        <v>0</v>
      </c>
      <c r="J713" s="362" t="str">
        <f t="shared" si="121"/>
        <v>Пустая строка (убрать галочку)</v>
      </c>
    </row>
    <row r="714" spans="1:10" ht="31.5" hidden="1">
      <c r="A714" s="33">
        <f>IF(D714=0,0,IF(D713=0,IF(D709=0,A705+1,A709+1),A713+1))</f>
        <v>0</v>
      </c>
      <c r="B71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714" s="33" t="s">
        <v>116</v>
      </c>
      <c r="D714" s="34">
        <f>VLOOKUP($F$29,таблица,36,0)-VLOOKUP($F$29,таблица,37,0)+D709</f>
        <v>0</v>
      </c>
      <c r="J714" s="362" t="str">
        <f t="shared" si="121"/>
        <v>Пустая строка (убрать галочку)</v>
      </c>
    </row>
    <row r="715" spans="1:10" hidden="1">
      <c r="A715" s="33">
        <f>IF(D715=0,0,A714+1)</f>
        <v>0</v>
      </c>
      <c r="B715" s="45" t="s">
        <v>119</v>
      </c>
      <c r="C715" s="33" t="s">
        <v>116</v>
      </c>
      <c r="D715" s="34">
        <f>VLOOKUP($F$29,таблица,41,0)</f>
        <v>0</v>
      </c>
      <c r="J715" s="362" t="str">
        <f t="shared" si="121"/>
        <v>Пустая строка (убрать галочку)</v>
      </c>
    </row>
    <row r="716" spans="1:10" hidden="1">
      <c r="A716" s="33">
        <f>IF(D716=0,0,A715+1)</f>
        <v>0</v>
      </c>
      <c r="B716" s="45" t="str">
        <f>"Всего с НДС на "&amp;'Анализ стоимости'!$AX$1&amp;" г."</f>
        <v>Всего с НДС на 2019 г.</v>
      </c>
      <c r="C716" s="33" t="s">
        <v>116</v>
      </c>
      <c r="D716" s="46">
        <f>SUM(D714:D715)</f>
        <v>0</v>
      </c>
      <c r="E716" s="56">
        <f>VLOOKUP($F$29,таблица,52,0)</f>
        <v>0</v>
      </c>
      <c r="J716" s="362" t="str">
        <f t="shared" si="121"/>
        <v>Пустая строка (убрать галочку)</v>
      </c>
    </row>
    <row r="717" spans="1:10" hidden="1">
      <c r="A717" s="33">
        <f>IF(D717=0,0,A716+1)</f>
        <v>0</v>
      </c>
      <c r="B717" s="45" t="s">
        <v>118</v>
      </c>
      <c r="C717" s="33" t="s">
        <v>116</v>
      </c>
      <c r="D717" s="46">
        <f>IF(OR(D713=0,D716=0),0,D716+D713)</f>
        <v>0</v>
      </c>
      <c r="E717" s="56">
        <f>VLOOKUP($F$29,таблица,42,0)</f>
        <v>0</v>
      </c>
      <c r="J717" s="362" t="str">
        <f t="shared" si="121"/>
        <v>Пустая строка (убрать галочку)</v>
      </c>
    </row>
    <row r="718" spans="1:10" hidden="1">
      <c r="A718" s="13"/>
      <c r="B718" s="13"/>
      <c r="C718" s="13"/>
      <c r="D718" s="14"/>
      <c r="J718" s="362" t="str">
        <f>IF($F$29=0,"Пустая строка (убрать галочку)",1)</f>
        <v>Пустая строка (убрать галочку)</v>
      </c>
    </row>
    <row r="719" spans="1:10" ht="47.25" hidden="1" customHeight="1">
      <c r="A71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719" s="382"/>
      <c r="C719" s="61"/>
      <c r="D719" s="48" t="str">
        <f>'Анализ стоимости'!$I$101</f>
        <v>Шестопал О.Н.</v>
      </c>
      <c r="G719" s="43" t="str">
        <f>A719</f>
        <v>Специалист администрации Старонижестеблиевского сельского поселения Красноармейского района</v>
      </c>
      <c r="J719" s="362" t="str">
        <f>IF($F$29=0,"Пустая строка (убрать галочку)",1)</f>
        <v>Пустая строка (убрать галочку)</v>
      </c>
    </row>
    <row r="720" spans="1:10" hidden="1">
      <c r="A720" s="49"/>
      <c r="B720" s="49"/>
      <c r="C720" s="49"/>
      <c r="D720" s="50"/>
      <c r="J720" s="362" t="str">
        <f>IF($F$29=0,"Пустая строка (убрать галочку)",1)</f>
        <v>Пустая строка (убрать галочку)</v>
      </c>
    </row>
    <row r="721" spans="1:10" hidden="1">
      <c r="A721" s="375"/>
      <c r="B721" s="375"/>
      <c r="C721" s="3"/>
      <c r="D721" s="3"/>
      <c r="J721" s="362" t="str">
        <f>IF($F$29=0,"Пустая строка (убрать галочку)",1)</f>
        <v>Пустая строка (убрать галочку)</v>
      </c>
    </row>
    <row r="722" spans="1:10" hidden="1">
      <c r="A722" s="385" t="s">
        <v>148</v>
      </c>
      <c r="B722" s="385"/>
      <c r="C722" s="385"/>
      <c r="D722" s="385"/>
      <c r="G722" s="37"/>
      <c r="H722" s="37"/>
      <c r="J722" s="362" t="str">
        <f t="shared" ref="J722:J739" si="122">IF($F$30=0,"Пустая строка (убрать галочку)",1)</f>
        <v>Пустая строка (убрать галочку)</v>
      </c>
    </row>
    <row r="723" spans="1:10" ht="47.25" hidden="1" customHeight="1">
      <c r="A723" s="376" t="str">
        <f>CONCATENATE("Наименование объекта: ",VLOOKUP($F$30,таблица,9,0))</f>
        <v xml:space="preserve">Наименование объекта: </v>
      </c>
      <c r="B723" s="376"/>
      <c r="C723" s="376"/>
      <c r="D723" s="376"/>
      <c r="I723" s="58" t="str">
        <f>A723</f>
        <v xml:space="preserve">Наименование объекта: </v>
      </c>
      <c r="J723" s="362" t="str">
        <f t="shared" si="122"/>
        <v>Пустая строка (убрать галочку)</v>
      </c>
    </row>
    <row r="724" spans="1:10" hidden="1">
      <c r="A724" s="30"/>
      <c r="B724" s="25"/>
      <c r="C724" s="25"/>
      <c r="D724" s="25"/>
      <c r="J724" s="362" t="str">
        <f t="shared" si="122"/>
        <v>Пустая строка (убрать галочку)</v>
      </c>
    </row>
    <row r="725" spans="1:10" hidden="1">
      <c r="A725" s="29" t="s">
        <v>111</v>
      </c>
      <c r="B725" s="22"/>
      <c r="C725" s="22"/>
      <c r="D725" s="22"/>
      <c r="J725" s="362" t="str">
        <f t="shared" si="122"/>
        <v>Пустая строка (убрать галочку)</v>
      </c>
    </row>
    <row r="726" spans="1:10" hidden="1">
      <c r="A726" s="383" t="s">
        <v>112</v>
      </c>
      <c r="B726" s="383"/>
      <c r="C726" s="383"/>
      <c r="D726" s="383"/>
      <c r="J726" s="362" t="str">
        <f t="shared" si="122"/>
        <v>Пустая строка (убрать галочку)</v>
      </c>
    </row>
    <row r="727" spans="1:10" ht="47.25" hidden="1">
      <c r="A727" s="63" t="s">
        <v>67</v>
      </c>
      <c r="B727" s="63" t="s">
        <v>98</v>
      </c>
      <c r="C727" s="377" t="str">
        <f>CONCATENATE("Стоимость  согласно сметной документации (руб.) в текущих ценах по состоянию на ",VLOOKUP($F$30,таблица,5,0)," г.")</f>
        <v>Стоимость  согласно сметной документации (руб.) в текущих ценах по состоянию на  г.</v>
      </c>
      <c r="D727" s="378"/>
      <c r="H727" s="44" t="str">
        <f>C727</f>
        <v>Стоимость  согласно сметной документации (руб.) в текущих ценах по состоянию на  г.</v>
      </c>
      <c r="J727" s="362" t="str">
        <f t="shared" si="122"/>
        <v>Пустая строка (убрать галочку)</v>
      </c>
    </row>
    <row r="728" spans="1:10" hidden="1">
      <c r="A728" s="33">
        <v>1</v>
      </c>
      <c r="B728" s="32" t="s">
        <v>46</v>
      </c>
      <c r="C728" s="379">
        <f>VLOOKUP($F$30,таблица,10,0)</f>
        <v>0</v>
      </c>
      <c r="D728" s="380"/>
      <c r="J728" s="362" t="str">
        <f t="shared" si="122"/>
        <v>Пустая строка (убрать галочку)</v>
      </c>
    </row>
    <row r="729" spans="1:10" hidden="1">
      <c r="A729" s="33">
        <v>2</v>
      </c>
      <c r="B729" s="32" t="s">
        <v>41</v>
      </c>
      <c r="C729" s="379">
        <f>VLOOKUP($F$30,таблица,11,0)</f>
        <v>0</v>
      </c>
      <c r="D729" s="380"/>
      <c r="J729" s="362" t="str">
        <f t="shared" si="122"/>
        <v>Пустая строка (убрать галочку)</v>
      </c>
    </row>
    <row r="730" spans="1:10" ht="31.5" hidden="1">
      <c r="A730" s="33">
        <v>3</v>
      </c>
      <c r="B730" s="32" t="s">
        <v>3</v>
      </c>
      <c r="C730" s="379">
        <f>VLOOKUP($F$30,таблица,12,0)</f>
        <v>0</v>
      </c>
      <c r="D730" s="380"/>
      <c r="J730" s="362" t="str">
        <f t="shared" si="122"/>
        <v>Пустая строка (убрать галочку)</v>
      </c>
    </row>
    <row r="731" spans="1:10" hidden="1">
      <c r="A731" s="33">
        <v>4</v>
      </c>
      <c r="B731" s="32" t="s">
        <v>42</v>
      </c>
      <c r="C731" s="379">
        <f>VLOOKUP($F$30,таблица,13,0)</f>
        <v>0</v>
      </c>
      <c r="D731" s="380"/>
      <c r="J731" s="362" t="str">
        <f t="shared" si="122"/>
        <v>Пустая строка (убрать галочку)</v>
      </c>
    </row>
    <row r="732" spans="1:10" hidden="1">
      <c r="A732" s="33">
        <v>5</v>
      </c>
      <c r="B732" s="32" t="s">
        <v>5</v>
      </c>
      <c r="C732" s="379">
        <f>VLOOKUP($F$30,таблица,14,0)</f>
        <v>0</v>
      </c>
      <c r="D732" s="380"/>
      <c r="J732" s="362" t="str">
        <f t="shared" si="122"/>
        <v>Пустая строка (убрать галочку)</v>
      </c>
    </row>
    <row r="733" spans="1:10" hidden="1">
      <c r="A733" s="33">
        <v>6</v>
      </c>
      <c r="B733" s="32" t="s">
        <v>12</v>
      </c>
      <c r="C733" s="379">
        <f>VLOOKUP($F$30,таблица,18,0)</f>
        <v>0</v>
      </c>
      <c r="D733" s="380"/>
      <c r="J733" s="362" t="str">
        <f t="shared" si="122"/>
        <v>Пустая строка (убрать галочку)</v>
      </c>
    </row>
    <row r="734" spans="1:10" hidden="1">
      <c r="A734" s="33">
        <v>7</v>
      </c>
      <c r="B734" s="32" t="s">
        <v>88</v>
      </c>
      <c r="C734" s="379">
        <f>VLOOKUP($F$30,таблица,19,0)+VLOOKUP($F$30,таблица,21,0)+VLOOKUP($F$30,таблица,22,0)+VLOOKUP($F$30,таблица,23,0)+VLOOKUP($F$30,таблица,24,0)+VLOOKUP($F$30,таблица,25,0)+VLOOKUP($F$30,таблица,26,0)</f>
        <v>0</v>
      </c>
      <c r="D734" s="380"/>
      <c r="J734" s="362" t="str">
        <f t="shared" si="122"/>
        <v>Пустая строка (убрать галочку)</v>
      </c>
    </row>
    <row r="735" spans="1:10" hidden="1">
      <c r="A735" s="33">
        <v>8</v>
      </c>
      <c r="B735" s="32" t="s">
        <v>62</v>
      </c>
      <c r="C735" s="379">
        <f>VLOOKUP($F$30,таблица,31,0)</f>
        <v>0</v>
      </c>
      <c r="D735" s="380"/>
      <c r="J735" s="362" t="str">
        <f t="shared" si="122"/>
        <v>Пустая строка (убрать галочку)</v>
      </c>
    </row>
    <row r="736" spans="1:10" hidden="1">
      <c r="A736" s="33">
        <v>9</v>
      </c>
      <c r="B736" s="32" t="s">
        <v>127</v>
      </c>
      <c r="C736" s="379">
        <f>SUM(C728:D735)</f>
        <v>0</v>
      </c>
      <c r="D736" s="380"/>
      <c r="J736" s="362" t="str">
        <f t="shared" si="122"/>
        <v>Пустая строка (убрать галочку)</v>
      </c>
    </row>
    <row r="737" spans="1:10" hidden="1">
      <c r="A737" s="384" t="s">
        <v>122</v>
      </c>
      <c r="B737" s="384"/>
      <c r="C737" s="384"/>
      <c r="D737" s="384"/>
      <c r="J737" s="362" t="str">
        <f t="shared" si="122"/>
        <v>Пустая строка (убрать галочку)</v>
      </c>
    </row>
    <row r="738" spans="1:10" ht="31.5" hidden="1">
      <c r="A738" s="35" t="s">
        <v>67</v>
      </c>
      <c r="B738" s="63" t="s">
        <v>21</v>
      </c>
      <c r="C738" s="63" t="s">
        <v>114</v>
      </c>
      <c r="D738" s="63" t="s">
        <v>99</v>
      </c>
      <c r="J738" s="362" t="str">
        <f t="shared" si="122"/>
        <v>Пустая строка (убрать галочку)</v>
      </c>
    </row>
    <row r="739" spans="1:10" hidden="1">
      <c r="A739" s="33">
        <v>10</v>
      </c>
      <c r="B739" s="33" t="e">
        <f>VLOOKUP((VLOOKUP($F$30,таблица,8,0)),рем_содер,2,0)</f>
        <v>#N/A</v>
      </c>
      <c r="C739" s="33"/>
      <c r="D739" s="32"/>
      <c r="J739" s="362" t="str">
        <f t="shared" si="122"/>
        <v>Пустая строка (убрать галочку)</v>
      </c>
    </row>
    <row r="740" spans="1:10" hidden="1">
      <c r="A740" s="33">
        <f>IF(D740=0,0,A739+1)</f>
        <v>0</v>
      </c>
      <c r="B740" s="32" t="e">
        <f>CONCATENATE('Анализ стоимости'!$AW$1," г (",CHOOSE(VLOOKUP(F$30,таблица,43,0),"Январь","Февраль","Март","Апрель","Май","Июнь","Июль","Август","Сентябрь","Октябрь","Ноябрь","Декабрь")," - ",CHOOSE(VLOOKUP(F$30,таблица,44,0),"Январь","Февраль","Март","Апрель","Май","Июнь","Июль","Август","Сентябрь","Октябрь","Ноябрь","Декабрь"),")")</f>
        <v>#VALUE!</v>
      </c>
      <c r="C740" s="33" t="s">
        <v>115</v>
      </c>
      <c r="D740" s="55">
        <f>IF(D742=0,0,VLOOKUP($F$30,таблица,49,0)*100+100)</f>
        <v>0</v>
      </c>
      <c r="J740" s="362" t="str">
        <f>IF(D740=0,"Пустая строка (убрать галочку)",1)</f>
        <v>Пустая строка (убрать галочку)</v>
      </c>
    </row>
    <row r="741" spans="1:10" hidden="1">
      <c r="A741" s="33">
        <f>IF(D741=0,0,IF(D740=0,A739+1,A740+1))</f>
        <v>0</v>
      </c>
      <c r="B741" s="32" t="e">
        <f>CONCATENATE('Анализ стоимости'!$AX$1," г (",CHOOSE(VLOOKUP(F$30,таблица,45,0),"Январь","Февраль","Март","Апрель","Май","Июнь","Июль","Август","Сентябрь","Октябрь","Ноябрь","Декабрь")," - ",CHOOSE(VLOOKUP(F$30,таблица,46,0),"Январь","Февраль","Март","Апрель","Май","Июнь","Июль","Август","Сентябрь","Октябрь","Ноябрь","Декабрь"),")")</f>
        <v>#VALUE!</v>
      </c>
      <c r="C741" s="33" t="s">
        <v>115</v>
      </c>
      <c r="D741" s="55">
        <f>IF(D743=0,0,VLOOKUP($F$30,таблица,50,0)*100+100)</f>
        <v>0</v>
      </c>
      <c r="J741" s="362" t="str">
        <f>IF(D741=0,"Пустая строка (убрать галочку)",1)</f>
        <v>Пустая строка (убрать галочку)</v>
      </c>
    </row>
    <row r="742" spans="1:10" hidden="1">
      <c r="A742" s="33">
        <f>IF(D742=0,0,IF(D741=0,A740+1,A741+1))</f>
        <v>0</v>
      </c>
      <c r="B742" s="32" t="str">
        <f>"Рост стоимости "&amp;'Анализ стоимости'!$AW$1&amp;" г."</f>
        <v>Рост стоимости 2018 г.</v>
      </c>
      <c r="C742" s="33" t="s">
        <v>116</v>
      </c>
      <c r="D742" s="34">
        <f>VLOOKUP($F$30,таблица,38,0)</f>
        <v>0</v>
      </c>
      <c r="J742" s="362" t="str">
        <f>IF(D742=0,"Пустая строка (убрать галочку)",1)</f>
        <v>Пустая строка (убрать галочку)</v>
      </c>
    </row>
    <row r="743" spans="1:10" hidden="1">
      <c r="A743" s="33">
        <f>IF(D743=0,0,IF(D742=0,A741+1,A742+1))</f>
        <v>0</v>
      </c>
      <c r="B743" s="32" t="str">
        <f>"Рост стоимости "&amp;'Анализ стоимости'!$AX$1&amp;" г."</f>
        <v>Рост стоимости 2019 г.</v>
      </c>
      <c r="C743" s="33" t="s">
        <v>116</v>
      </c>
      <c r="D743" s="34">
        <f>VLOOKUP($F$30,таблица,40,0)</f>
        <v>0</v>
      </c>
      <c r="J743" s="362" t="str">
        <f>IF(D743=0,"Пустая строка (убрать галочку)",1)</f>
        <v>Пустая строка (убрать галочку)</v>
      </c>
    </row>
    <row r="744" spans="1:10" hidden="1">
      <c r="A744" s="384" t="s">
        <v>117</v>
      </c>
      <c r="B744" s="384"/>
      <c r="C744" s="384"/>
      <c r="D744" s="384"/>
      <c r="J744" s="362" t="str">
        <f>IF($F$30=0,"Пустая строка (убрать галочку)",1)</f>
        <v>Пустая строка (убрать галочку)</v>
      </c>
    </row>
    <row r="745" spans="1:10" ht="31.5" hidden="1">
      <c r="A745" s="33">
        <f>IF(D745=0,0,IF(D743=0,IF(D742=0,A739+1,A742+1),A743+1))</f>
        <v>0</v>
      </c>
      <c r="B74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745" s="33" t="s">
        <v>116</v>
      </c>
      <c r="D745" s="34">
        <f>SUM(VLOOKUP($F$30,таблица,37,0),D742)</f>
        <v>0</v>
      </c>
      <c r="E745" s="7"/>
      <c r="J745" s="362" t="str">
        <f t="shared" ref="J745:J751" si="123">IF(D745=0,"Пустая строка (убрать галочку)",1)</f>
        <v>Пустая строка (убрать галочку)</v>
      </c>
    </row>
    <row r="746" spans="1:10" hidden="1">
      <c r="A746" s="33">
        <f>IF(D746=0,0,A745+1)</f>
        <v>0</v>
      </c>
      <c r="B746" s="45" t="s">
        <v>119</v>
      </c>
      <c r="C746" s="33" t="s">
        <v>116</v>
      </c>
      <c r="D746" s="34">
        <f>VLOOKUP($F$30,таблица,39,0)</f>
        <v>0</v>
      </c>
      <c r="E746" s="7"/>
      <c r="J746" s="362" t="str">
        <f t="shared" si="123"/>
        <v>Пустая строка (убрать галочку)</v>
      </c>
    </row>
    <row r="747" spans="1:10" hidden="1">
      <c r="A747" s="33">
        <f>IF(D747=0,0,A746+1)</f>
        <v>0</v>
      </c>
      <c r="B747" s="45" t="str">
        <f>"Всего с НДС на "&amp;'Анализ стоимости'!$AW$1&amp;" г."</f>
        <v>Всего с НДС на 2018 г.</v>
      </c>
      <c r="C747" s="33" t="s">
        <v>116</v>
      </c>
      <c r="D747" s="46">
        <f>SUM(D745:D746)</f>
        <v>0</v>
      </c>
      <c r="E747" s="56">
        <f>VLOOKUP($F$30,таблица,51,0)</f>
        <v>0</v>
      </c>
      <c r="J747" s="362" t="str">
        <f t="shared" si="123"/>
        <v>Пустая строка (убрать галочку)</v>
      </c>
    </row>
    <row r="748" spans="1:10" ht="31.5" hidden="1">
      <c r="A748" s="33">
        <f>IF(D748=0,0,IF(D747=0,IF(D743=0,A739+1,A743+1),A747+1))</f>
        <v>0</v>
      </c>
      <c r="B74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748" s="33" t="s">
        <v>116</v>
      </c>
      <c r="D748" s="34">
        <f>VLOOKUP($F$30,таблица,36,0)-VLOOKUP($F$30,таблица,37,0)+D743</f>
        <v>0</v>
      </c>
      <c r="J748" s="362" t="str">
        <f t="shared" si="123"/>
        <v>Пустая строка (убрать галочку)</v>
      </c>
    </row>
    <row r="749" spans="1:10" hidden="1">
      <c r="A749" s="33">
        <f>IF(D749=0,0,A748+1)</f>
        <v>0</v>
      </c>
      <c r="B749" s="45" t="s">
        <v>119</v>
      </c>
      <c r="C749" s="33" t="s">
        <v>116</v>
      </c>
      <c r="D749" s="34">
        <f>VLOOKUP($F$30,таблица,41,0)</f>
        <v>0</v>
      </c>
      <c r="J749" s="362" t="str">
        <f t="shared" si="123"/>
        <v>Пустая строка (убрать галочку)</v>
      </c>
    </row>
    <row r="750" spans="1:10" hidden="1">
      <c r="A750" s="33">
        <f>IF(D750=0,0,A749+1)</f>
        <v>0</v>
      </c>
      <c r="B750" s="45" t="str">
        <f>"Всего с НДС на "&amp;'Анализ стоимости'!$AX$1&amp;" г."</f>
        <v>Всего с НДС на 2019 г.</v>
      </c>
      <c r="C750" s="33" t="s">
        <v>116</v>
      </c>
      <c r="D750" s="46">
        <f>SUM(D748:D749)</f>
        <v>0</v>
      </c>
      <c r="E750" s="56">
        <f>VLOOKUP($F$30,таблица,52,0)</f>
        <v>0</v>
      </c>
      <c r="J750" s="362" t="str">
        <f t="shared" si="123"/>
        <v>Пустая строка (убрать галочку)</v>
      </c>
    </row>
    <row r="751" spans="1:10" hidden="1">
      <c r="A751" s="33">
        <f>IF(D751=0,0,A750+1)</f>
        <v>0</v>
      </c>
      <c r="B751" s="45" t="s">
        <v>118</v>
      </c>
      <c r="C751" s="33" t="s">
        <v>116</v>
      </c>
      <c r="D751" s="46">
        <f>IF(OR(D747=0,D750=0),0,D750+D747)</f>
        <v>0</v>
      </c>
      <c r="E751" s="56">
        <f>VLOOKUP($F$30,таблица,42,0)</f>
        <v>0</v>
      </c>
      <c r="J751" s="362" t="str">
        <f t="shared" si="123"/>
        <v>Пустая строка (убрать галочку)</v>
      </c>
    </row>
    <row r="752" spans="1:10" hidden="1">
      <c r="A752" s="13"/>
      <c r="B752" s="13"/>
      <c r="C752" s="13"/>
      <c r="D752" s="14"/>
      <c r="J752" s="362" t="str">
        <f>IF($F$30=0,"Пустая строка (убрать галочку)",1)</f>
        <v>Пустая строка (убрать галочку)</v>
      </c>
    </row>
    <row r="753" spans="1:10" ht="47.25" hidden="1" customHeight="1">
      <c r="A75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753" s="382"/>
      <c r="C753" s="61"/>
      <c r="D753" s="48" t="str">
        <f>'Анализ стоимости'!$I$101</f>
        <v>Шестопал О.Н.</v>
      </c>
      <c r="G753" s="43" t="str">
        <f>A753</f>
        <v>Специалист администрации Старонижестеблиевского сельского поселения Красноармейского района</v>
      </c>
      <c r="J753" s="362" t="str">
        <f>IF($F$30=0,"Пустая строка (убрать галочку)",1)</f>
        <v>Пустая строка (убрать галочку)</v>
      </c>
    </row>
    <row r="754" spans="1:10" hidden="1">
      <c r="A754" s="49"/>
      <c r="B754" s="49"/>
      <c r="C754" s="49"/>
      <c r="D754" s="50"/>
      <c r="J754" s="362" t="str">
        <f>IF($F$30=0,"Пустая строка (убрать галочку)",1)</f>
        <v>Пустая строка (убрать галочку)</v>
      </c>
    </row>
    <row r="755" spans="1:10" hidden="1">
      <c r="A755" s="375"/>
      <c r="B755" s="375"/>
      <c r="C755" s="3"/>
      <c r="D755" s="3"/>
      <c r="J755" s="362" t="str">
        <f>IF($F$30=0,"Пустая строка (убрать галочку)",1)</f>
        <v>Пустая строка (убрать галочку)</v>
      </c>
    </row>
    <row r="756" spans="1:10" hidden="1">
      <c r="A756" s="385" t="s">
        <v>149</v>
      </c>
      <c r="B756" s="385"/>
      <c r="C756" s="385"/>
      <c r="D756" s="385"/>
      <c r="G756" s="37"/>
      <c r="H756" s="37"/>
      <c r="J756" s="362" t="str">
        <f t="shared" ref="J756:J773" si="124">IF($F$31=0,"Пустая строка (убрать галочку)",1)</f>
        <v>Пустая строка (убрать галочку)</v>
      </c>
    </row>
    <row r="757" spans="1:10" ht="47.25" hidden="1" customHeight="1">
      <c r="A757" s="376" t="str">
        <f>CONCATENATE("Наименование объекта: ",VLOOKUP($F$31,таблица,9,0))</f>
        <v xml:space="preserve">Наименование объекта: </v>
      </c>
      <c r="B757" s="376"/>
      <c r="C757" s="376"/>
      <c r="D757" s="376"/>
      <c r="I757" s="58" t="str">
        <f>A757</f>
        <v xml:space="preserve">Наименование объекта: </v>
      </c>
      <c r="J757" s="362" t="str">
        <f t="shared" si="124"/>
        <v>Пустая строка (убрать галочку)</v>
      </c>
    </row>
    <row r="758" spans="1:10" hidden="1">
      <c r="A758" s="30"/>
      <c r="B758" s="25"/>
      <c r="C758" s="25"/>
      <c r="D758" s="25"/>
      <c r="J758" s="362" t="str">
        <f t="shared" si="124"/>
        <v>Пустая строка (убрать галочку)</v>
      </c>
    </row>
    <row r="759" spans="1:10" hidden="1">
      <c r="A759" s="29" t="s">
        <v>111</v>
      </c>
      <c r="B759" s="22"/>
      <c r="C759" s="22"/>
      <c r="D759" s="22"/>
      <c r="J759" s="362" t="str">
        <f t="shared" si="124"/>
        <v>Пустая строка (убрать галочку)</v>
      </c>
    </row>
    <row r="760" spans="1:10" hidden="1">
      <c r="A760" s="383" t="s">
        <v>112</v>
      </c>
      <c r="B760" s="383"/>
      <c r="C760" s="383"/>
      <c r="D760" s="383"/>
      <c r="J760" s="362" t="str">
        <f t="shared" si="124"/>
        <v>Пустая строка (убрать галочку)</v>
      </c>
    </row>
    <row r="761" spans="1:10" ht="47.25" hidden="1">
      <c r="A761" s="63" t="s">
        <v>67</v>
      </c>
      <c r="B761" s="63" t="s">
        <v>98</v>
      </c>
      <c r="C761" s="377" t="str">
        <f>CONCATENATE("Стоимость  согласно сметной документации (руб.) в текущих ценах по состоянию на ",VLOOKUP($F$31,таблица,5,0)," г.")</f>
        <v>Стоимость  согласно сметной документации (руб.) в текущих ценах по состоянию на  г.</v>
      </c>
      <c r="D761" s="378"/>
      <c r="H761" s="44" t="str">
        <f>C761</f>
        <v>Стоимость  согласно сметной документации (руб.) в текущих ценах по состоянию на  г.</v>
      </c>
      <c r="J761" s="362" t="str">
        <f t="shared" si="124"/>
        <v>Пустая строка (убрать галочку)</v>
      </c>
    </row>
    <row r="762" spans="1:10" hidden="1">
      <c r="A762" s="33">
        <v>1</v>
      </c>
      <c r="B762" s="32" t="s">
        <v>46</v>
      </c>
      <c r="C762" s="379">
        <f>VLOOKUP($F$31,таблица,10,0)</f>
        <v>0</v>
      </c>
      <c r="D762" s="380"/>
      <c r="J762" s="362" t="str">
        <f t="shared" si="124"/>
        <v>Пустая строка (убрать галочку)</v>
      </c>
    </row>
    <row r="763" spans="1:10" hidden="1">
      <c r="A763" s="33">
        <v>2</v>
      </c>
      <c r="B763" s="32" t="s">
        <v>41</v>
      </c>
      <c r="C763" s="379">
        <f>VLOOKUP($F$31,таблица,11,0)</f>
        <v>0</v>
      </c>
      <c r="D763" s="380"/>
      <c r="J763" s="362" t="str">
        <f t="shared" si="124"/>
        <v>Пустая строка (убрать галочку)</v>
      </c>
    </row>
    <row r="764" spans="1:10" ht="31.5" hidden="1">
      <c r="A764" s="33">
        <v>3</v>
      </c>
      <c r="B764" s="32" t="s">
        <v>3</v>
      </c>
      <c r="C764" s="379">
        <f>VLOOKUP($F$31,таблица,12,0)</f>
        <v>0</v>
      </c>
      <c r="D764" s="380"/>
      <c r="J764" s="362" t="str">
        <f t="shared" si="124"/>
        <v>Пустая строка (убрать галочку)</v>
      </c>
    </row>
    <row r="765" spans="1:10" hidden="1">
      <c r="A765" s="33">
        <v>4</v>
      </c>
      <c r="B765" s="32" t="s">
        <v>42</v>
      </c>
      <c r="C765" s="379">
        <f>VLOOKUP($F$31,таблица,13,0)</f>
        <v>0</v>
      </c>
      <c r="D765" s="380"/>
      <c r="J765" s="362" t="str">
        <f t="shared" si="124"/>
        <v>Пустая строка (убрать галочку)</v>
      </c>
    </row>
    <row r="766" spans="1:10" hidden="1">
      <c r="A766" s="33">
        <v>5</v>
      </c>
      <c r="B766" s="32" t="s">
        <v>5</v>
      </c>
      <c r="C766" s="379">
        <f>VLOOKUP($F$31,таблица,14,0)</f>
        <v>0</v>
      </c>
      <c r="D766" s="380"/>
      <c r="J766" s="362" t="str">
        <f t="shared" si="124"/>
        <v>Пустая строка (убрать галочку)</v>
      </c>
    </row>
    <row r="767" spans="1:10" hidden="1">
      <c r="A767" s="33">
        <v>6</v>
      </c>
      <c r="B767" s="32" t="s">
        <v>12</v>
      </c>
      <c r="C767" s="379">
        <f>VLOOKUP($F$31,таблица,18,0)</f>
        <v>0</v>
      </c>
      <c r="D767" s="380"/>
      <c r="J767" s="362" t="str">
        <f t="shared" si="124"/>
        <v>Пустая строка (убрать галочку)</v>
      </c>
    </row>
    <row r="768" spans="1:10" hidden="1">
      <c r="A768" s="33">
        <v>7</v>
      </c>
      <c r="B768" s="32" t="s">
        <v>88</v>
      </c>
      <c r="C768" s="379">
        <f>VLOOKUP($F$31,таблица,19,0)+VLOOKUP($F$31,таблица,21,0)+VLOOKUP($F$31,таблица,22,0)+VLOOKUP($F$31,таблица,23,0)+VLOOKUP($F$31,таблица,24,0)+VLOOKUP($F$31,таблица,25,0)+VLOOKUP($F$31,таблица,26,0)</f>
        <v>0</v>
      </c>
      <c r="D768" s="380"/>
      <c r="J768" s="362" t="str">
        <f t="shared" si="124"/>
        <v>Пустая строка (убрать галочку)</v>
      </c>
    </row>
    <row r="769" spans="1:10" hidden="1">
      <c r="A769" s="33">
        <v>8</v>
      </c>
      <c r="B769" s="32" t="s">
        <v>62</v>
      </c>
      <c r="C769" s="379">
        <f>VLOOKUP($F$31,таблица,31,0)</f>
        <v>0</v>
      </c>
      <c r="D769" s="380"/>
      <c r="J769" s="362" t="str">
        <f t="shared" si="124"/>
        <v>Пустая строка (убрать галочку)</v>
      </c>
    </row>
    <row r="770" spans="1:10" hidden="1">
      <c r="A770" s="33">
        <v>9</v>
      </c>
      <c r="B770" s="32" t="s">
        <v>127</v>
      </c>
      <c r="C770" s="379">
        <f>SUM(C762:D769)</f>
        <v>0</v>
      </c>
      <c r="D770" s="380"/>
      <c r="J770" s="362" t="str">
        <f t="shared" si="124"/>
        <v>Пустая строка (убрать галочку)</v>
      </c>
    </row>
    <row r="771" spans="1:10" hidden="1">
      <c r="A771" s="384" t="s">
        <v>122</v>
      </c>
      <c r="B771" s="384"/>
      <c r="C771" s="384"/>
      <c r="D771" s="384"/>
      <c r="J771" s="362" t="str">
        <f t="shared" si="124"/>
        <v>Пустая строка (убрать галочку)</v>
      </c>
    </row>
    <row r="772" spans="1:10" ht="31.5" hidden="1">
      <c r="A772" s="35" t="s">
        <v>67</v>
      </c>
      <c r="B772" s="63" t="s">
        <v>21</v>
      </c>
      <c r="C772" s="63" t="s">
        <v>114</v>
      </c>
      <c r="D772" s="63" t="s">
        <v>99</v>
      </c>
      <c r="J772" s="362" t="str">
        <f t="shared" si="124"/>
        <v>Пустая строка (убрать галочку)</v>
      </c>
    </row>
    <row r="773" spans="1:10" hidden="1">
      <c r="A773" s="33">
        <v>10</v>
      </c>
      <c r="B773" s="33" t="e">
        <f>VLOOKUP((VLOOKUP($F$31,таблица,8,0)),рем_содер,2,0)</f>
        <v>#N/A</v>
      </c>
      <c r="C773" s="33"/>
      <c r="D773" s="32"/>
      <c r="J773" s="362" t="str">
        <f t="shared" si="124"/>
        <v>Пустая строка (убрать галочку)</v>
      </c>
    </row>
    <row r="774" spans="1:10" hidden="1">
      <c r="A774" s="33">
        <f>IF(D774=0,0,A773+1)</f>
        <v>0</v>
      </c>
      <c r="B774" s="32" t="e">
        <f>CONCATENATE('Анализ стоимости'!$AW$1," г (",CHOOSE(VLOOKUP(F$31,таблица,43,0),"Январь","Февраль","Март","Апрель","Май","Июнь","Июль","Август","Сентябрь","Октябрь","Ноябрь","Декабрь")," - ",CHOOSE(VLOOKUP(F$31,таблица,44,0),"Январь","Февраль","Март","Апрель","Май","Июнь","Июль","Август","Сентябрь","Октябрь","Ноябрь","Декабрь"),")")</f>
        <v>#VALUE!</v>
      </c>
      <c r="C774" s="33" t="s">
        <v>115</v>
      </c>
      <c r="D774" s="55">
        <f>IF(D776=0,0,VLOOKUP($F$31,таблица,49,0)*100+100)</f>
        <v>0</v>
      </c>
      <c r="J774" s="362" t="str">
        <f>IF(D774=0,"Пустая строка (убрать галочку)",1)</f>
        <v>Пустая строка (убрать галочку)</v>
      </c>
    </row>
    <row r="775" spans="1:10" hidden="1">
      <c r="A775" s="33">
        <f>IF(D775=0,0,IF(D774=0,A773+1,A774+1))</f>
        <v>0</v>
      </c>
      <c r="B775" s="32" t="e">
        <f>CONCATENATE('Анализ стоимости'!$AX$1," г (",CHOOSE(VLOOKUP(F$31,таблица,45,0),"Январь","Февраль","Март","Апрель","Май","Июнь","Июль","Август","Сентябрь","Октябрь","Ноябрь","Декабрь")," - ",CHOOSE(VLOOKUP(F$31,таблица,46,0),"Январь","Февраль","Март","Апрель","Май","Июнь","Июль","Август","Сентябрь","Октябрь","Ноябрь","Декабрь"),")")</f>
        <v>#VALUE!</v>
      </c>
      <c r="C775" s="33" t="s">
        <v>115</v>
      </c>
      <c r="D775" s="55">
        <f>IF(D777=0,0,VLOOKUP($F$31,таблица,50,0)*100+100)</f>
        <v>0</v>
      </c>
      <c r="J775" s="362" t="str">
        <f>IF(D775=0,"Пустая строка (убрать галочку)",1)</f>
        <v>Пустая строка (убрать галочку)</v>
      </c>
    </row>
    <row r="776" spans="1:10" hidden="1">
      <c r="A776" s="33">
        <f>IF(D776=0,0,IF(D775=0,A774+1,A775+1))</f>
        <v>0</v>
      </c>
      <c r="B776" s="32" t="str">
        <f>"Рост стоимости "&amp;'Анализ стоимости'!$AW$1&amp;" г."</f>
        <v>Рост стоимости 2018 г.</v>
      </c>
      <c r="C776" s="33" t="s">
        <v>116</v>
      </c>
      <c r="D776" s="34">
        <f>VLOOKUP($F$31,таблица,38,0)</f>
        <v>0</v>
      </c>
      <c r="J776" s="362" t="str">
        <f>IF(D776=0,"Пустая строка (убрать галочку)",1)</f>
        <v>Пустая строка (убрать галочку)</v>
      </c>
    </row>
    <row r="777" spans="1:10" hidden="1">
      <c r="A777" s="33">
        <f>IF(D777=0,0,IF(D776=0,A775+1,A776+1))</f>
        <v>0</v>
      </c>
      <c r="B777" s="32" t="str">
        <f>"Рост стоимости "&amp;'Анализ стоимости'!$AX$1&amp;" г."</f>
        <v>Рост стоимости 2019 г.</v>
      </c>
      <c r="C777" s="33" t="s">
        <v>116</v>
      </c>
      <c r="D777" s="34">
        <f>VLOOKUP($F$31,таблица,40,0)</f>
        <v>0</v>
      </c>
      <c r="J777" s="362" t="str">
        <f>IF(D777=0,"Пустая строка (убрать галочку)",1)</f>
        <v>Пустая строка (убрать галочку)</v>
      </c>
    </row>
    <row r="778" spans="1:10" hidden="1">
      <c r="A778" s="384" t="s">
        <v>117</v>
      </c>
      <c r="B778" s="384"/>
      <c r="C778" s="384"/>
      <c r="D778" s="384"/>
      <c r="J778" s="362" t="str">
        <f>IF($F$31=0,"Пустая строка (убрать галочку)",1)</f>
        <v>Пустая строка (убрать галочку)</v>
      </c>
    </row>
    <row r="779" spans="1:10" ht="31.5" hidden="1">
      <c r="A779" s="33">
        <f>IF(D779=0,0,IF(D777=0,IF(D776=0,A773+1,A776+1),A777+1))</f>
        <v>0</v>
      </c>
      <c r="B77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779" s="33" t="s">
        <v>116</v>
      </c>
      <c r="D779" s="34">
        <f>SUM(VLOOKUP($F$31,таблица,37,0),D776)</f>
        <v>0</v>
      </c>
      <c r="E779" s="7"/>
      <c r="J779" s="362" t="str">
        <f t="shared" ref="J779:J785" si="125">IF(D779=0,"Пустая строка (убрать галочку)",1)</f>
        <v>Пустая строка (убрать галочку)</v>
      </c>
    </row>
    <row r="780" spans="1:10" hidden="1">
      <c r="A780" s="33">
        <f>IF(D780=0,0,A779+1)</f>
        <v>0</v>
      </c>
      <c r="B780" s="45" t="s">
        <v>119</v>
      </c>
      <c r="C780" s="33" t="s">
        <v>116</v>
      </c>
      <c r="D780" s="34">
        <f>VLOOKUP($F$31,таблица,39,0)</f>
        <v>0</v>
      </c>
      <c r="E780" s="7"/>
      <c r="J780" s="362" t="str">
        <f t="shared" si="125"/>
        <v>Пустая строка (убрать галочку)</v>
      </c>
    </row>
    <row r="781" spans="1:10" hidden="1">
      <c r="A781" s="33">
        <f>IF(D781=0,0,A780+1)</f>
        <v>0</v>
      </c>
      <c r="B781" s="45" t="str">
        <f>"Всего с НДС на "&amp;'Анализ стоимости'!$AW$1&amp;" г."</f>
        <v>Всего с НДС на 2018 г.</v>
      </c>
      <c r="C781" s="33" t="s">
        <v>116</v>
      </c>
      <c r="D781" s="46">
        <f>SUM(D779:D780)</f>
        <v>0</v>
      </c>
      <c r="E781" s="56">
        <f>VLOOKUP($F$31,таблица,51,0)</f>
        <v>0</v>
      </c>
      <c r="J781" s="362" t="str">
        <f t="shared" si="125"/>
        <v>Пустая строка (убрать галочку)</v>
      </c>
    </row>
    <row r="782" spans="1:10" ht="31.5" hidden="1">
      <c r="A782" s="33">
        <f>IF(D782=0,0,IF(D781=0,IF(D777=0,A773+1,A777+1),A781+1))</f>
        <v>0</v>
      </c>
      <c r="B78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782" s="33" t="s">
        <v>116</v>
      </c>
      <c r="D782" s="34">
        <f>VLOOKUP($F$31,таблица,36,0)-VLOOKUP($F$31,таблица,37,0)+D777</f>
        <v>0</v>
      </c>
      <c r="J782" s="362" t="str">
        <f t="shared" si="125"/>
        <v>Пустая строка (убрать галочку)</v>
      </c>
    </row>
    <row r="783" spans="1:10" hidden="1">
      <c r="A783" s="33">
        <f>IF(D783=0,0,A782+1)</f>
        <v>0</v>
      </c>
      <c r="B783" s="45" t="s">
        <v>119</v>
      </c>
      <c r="C783" s="33" t="s">
        <v>116</v>
      </c>
      <c r="D783" s="34">
        <f>VLOOKUP($F$31,таблица,41,0)</f>
        <v>0</v>
      </c>
      <c r="J783" s="362" t="str">
        <f t="shared" si="125"/>
        <v>Пустая строка (убрать галочку)</v>
      </c>
    </row>
    <row r="784" spans="1:10" hidden="1">
      <c r="A784" s="33">
        <f>IF(D784=0,0,A783+1)</f>
        <v>0</v>
      </c>
      <c r="B784" s="45" t="str">
        <f>"Всего с НДС на "&amp;'Анализ стоимости'!$AX$1&amp;" г."</f>
        <v>Всего с НДС на 2019 г.</v>
      </c>
      <c r="C784" s="33" t="s">
        <v>116</v>
      </c>
      <c r="D784" s="46">
        <f>SUM(D782:D783)</f>
        <v>0</v>
      </c>
      <c r="E784" s="56">
        <f>VLOOKUP($F$31,таблица,52,0)</f>
        <v>0</v>
      </c>
      <c r="J784" s="362" t="str">
        <f t="shared" si="125"/>
        <v>Пустая строка (убрать галочку)</v>
      </c>
    </row>
    <row r="785" spans="1:10" hidden="1">
      <c r="A785" s="33">
        <f>IF(D785=0,0,A784+1)</f>
        <v>0</v>
      </c>
      <c r="B785" s="45" t="s">
        <v>118</v>
      </c>
      <c r="C785" s="33" t="s">
        <v>116</v>
      </c>
      <c r="D785" s="46">
        <f>IF(OR(D781=0,D784=0),0,D784+D781)</f>
        <v>0</v>
      </c>
      <c r="E785" s="56">
        <f>VLOOKUP($F$31,таблица,42,0)</f>
        <v>0</v>
      </c>
      <c r="J785" s="362" t="str">
        <f t="shared" si="125"/>
        <v>Пустая строка (убрать галочку)</v>
      </c>
    </row>
    <row r="786" spans="1:10" hidden="1">
      <c r="A786" s="13"/>
      <c r="B786" s="13"/>
      <c r="C786" s="13"/>
      <c r="D786" s="14"/>
      <c r="J786" s="362" t="str">
        <f>IF($F$31=0,"Пустая строка (убрать галочку)",1)</f>
        <v>Пустая строка (убрать галочку)</v>
      </c>
    </row>
    <row r="787" spans="1:10" ht="47.25" hidden="1" customHeight="1">
      <c r="A78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787" s="382"/>
      <c r="C787" s="61"/>
      <c r="D787" s="48" t="str">
        <f>'Анализ стоимости'!$I$101</f>
        <v>Шестопал О.Н.</v>
      </c>
      <c r="G787" s="43" t="str">
        <f>A787</f>
        <v>Специалист администрации Старонижестеблиевского сельского поселения Красноармейского района</v>
      </c>
      <c r="J787" s="362" t="str">
        <f>IF($F$31=0,"Пустая строка (убрать галочку)",1)</f>
        <v>Пустая строка (убрать галочку)</v>
      </c>
    </row>
    <row r="788" spans="1:10" hidden="1">
      <c r="A788" s="49"/>
      <c r="B788" s="49"/>
      <c r="C788" s="49"/>
      <c r="D788" s="50"/>
      <c r="J788" s="362" t="str">
        <f>IF($F$31=0,"Пустая строка (убрать галочку)",1)</f>
        <v>Пустая строка (убрать галочку)</v>
      </c>
    </row>
    <row r="789" spans="1:10" hidden="1">
      <c r="A789" s="375"/>
      <c r="B789" s="375"/>
      <c r="C789" s="3"/>
      <c r="D789" s="3"/>
      <c r="J789" s="362" t="str">
        <f>IF($F$31=0,"Пустая строка (убрать галочку)",1)</f>
        <v>Пустая строка (убрать галочку)</v>
      </c>
    </row>
    <row r="790" spans="1:10" hidden="1">
      <c r="A790" s="385" t="s">
        <v>150</v>
      </c>
      <c r="B790" s="385"/>
      <c r="C790" s="385"/>
      <c r="D790" s="385"/>
      <c r="G790" s="37"/>
      <c r="H790" s="37"/>
      <c r="J790" s="362" t="str">
        <f t="shared" ref="J790:J807" si="126">IF($F$32=0,"Пустая строка (убрать галочку)",1)</f>
        <v>Пустая строка (убрать галочку)</v>
      </c>
    </row>
    <row r="791" spans="1:10" ht="47.25" hidden="1" customHeight="1">
      <c r="A791" s="376" t="str">
        <f>CONCATENATE("Наименование объекта: ",VLOOKUP($F$32,таблица,9,0))</f>
        <v xml:space="preserve">Наименование объекта: </v>
      </c>
      <c r="B791" s="376"/>
      <c r="C791" s="376"/>
      <c r="D791" s="376"/>
      <c r="I791" s="58" t="str">
        <f>A791</f>
        <v xml:space="preserve">Наименование объекта: </v>
      </c>
      <c r="J791" s="362" t="str">
        <f t="shared" si="126"/>
        <v>Пустая строка (убрать галочку)</v>
      </c>
    </row>
    <row r="792" spans="1:10" hidden="1">
      <c r="A792" s="30"/>
      <c r="B792" s="25"/>
      <c r="C792" s="25"/>
      <c r="D792" s="25"/>
      <c r="J792" s="362" t="str">
        <f t="shared" si="126"/>
        <v>Пустая строка (убрать галочку)</v>
      </c>
    </row>
    <row r="793" spans="1:10" hidden="1">
      <c r="A793" s="29" t="s">
        <v>111</v>
      </c>
      <c r="B793" s="22"/>
      <c r="C793" s="22"/>
      <c r="D793" s="22"/>
      <c r="J793" s="362" t="str">
        <f t="shared" si="126"/>
        <v>Пустая строка (убрать галочку)</v>
      </c>
    </row>
    <row r="794" spans="1:10" hidden="1">
      <c r="A794" s="383" t="s">
        <v>112</v>
      </c>
      <c r="B794" s="383"/>
      <c r="C794" s="383"/>
      <c r="D794" s="383"/>
      <c r="J794" s="362" t="str">
        <f t="shared" si="126"/>
        <v>Пустая строка (убрать галочку)</v>
      </c>
    </row>
    <row r="795" spans="1:10" ht="47.25" hidden="1">
      <c r="A795" s="63" t="s">
        <v>67</v>
      </c>
      <c r="B795" s="63" t="s">
        <v>98</v>
      </c>
      <c r="C795" s="377" t="str">
        <f>CONCATENATE("Стоимость  согласно сметной документации (руб.) в текущих ценах по состоянию на ",VLOOKUP($F$32,таблица,5,0)," г.")</f>
        <v>Стоимость  согласно сметной документации (руб.) в текущих ценах по состоянию на  г.</v>
      </c>
      <c r="D795" s="378"/>
      <c r="H795" s="44" t="str">
        <f>C795</f>
        <v>Стоимость  согласно сметной документации (руб.) в текущих ценах по состоянию на  г.</v>
      </c>
      <c r="J795" s="362" t="str">
        <f t="shared" si="126"/>
        <v>Пустая строка (убрать галочку)</v>
      </c>
    </row>
    <row r="796" spans="1:10" hidden="1">
      <c r="A796" s="33">
        <v>1</v>
      </c>
      <c r="B796" s="32" t="s">
        <v>46</v>
      </c>
      <c r="C796" s="379">
        <f>VLOOKUP($F$32,таблица,10,0)</f>
        <v>0</v>
      </c>
      <c r="D796" s="380"/>
      <c r="J796" s="362" t="str">
        <f t="shared" si="126"/>
        <v>Пустая строка (убрать галочку)</v>
      </c>
    </row>
    <row r="797" spans="1:10" hidden="1">
      <c r="A797" s="33">
        <v>2</v>
      </c>
      <c r="B797" s="32" t="s">
        <v>41</v>
      </c>
      <c r="C797" s="379">
        <f>VLOOKUP($F$32,таблица,11,0)</f>
        <v>0</v>
      </c>
      <c r="D797" s="380"/>
      <c r="J797" s="362" t="str">
        <f t="shared" si="126"/>
        <v>Пустая строка (убрать галочку)</v>
      </c>
    </row>
    <row r="798" spans="1:10" ht="31.5" hidden="1">
      <c r="A798" s="33">
        <v>3</v>
      </c>
      <c r="B798" s="32" t="s">
        <v>3</v>
      </c>
      <c r="C798" s="379">
        <f>VLOOKUP($F$32,таблица,12,0)</f>
        <v>0</v>
      </c>
      <c r="D798" s="380"/>
      <c r="J798" s="362" t="str">
        <f t="shared" si="126"/>
        <v>Пустая строка (убрать галочку)</v>
      </c>
    </row>
    <row r="799" spans="1:10" hidden="1">
      <c r="A799" s="33">
        <v>4</v>
      </c>
      <c r="B799" s="32" t="s">
        <v>42</v>
      </c>
      <c r="C799" s="379">
        <f>VLOOKUP($F$32,таблица,13,0)</f>
        <v>0</v>
      </c>
      <c r="D799" s="380"/>
      <c r="J799" s="362" t="str">
        <f t="shared" si="126"/>
        <v>Пустая строка (убрать галочку)</v>
      </c>
    </row>
    <row r="800" spans="1:10" hidden="1">
      <c r="A800" s="33">
        <v>5</v>
      </c>
      <c r="B800" s="32" t="s">
        <v>5</v>
      </c>
      <c r="C800" s="379">
        <f>VLOOKUP($F$32,таблица,14,0)</f>
        <v>0</v>
      </c>
      <c r="D800" s="380"/>
      <c r="J800" s="362" t="str">
        <f t="shared" si="126"/>
        <v>Пустая строка (убрать галочку)</v>
      </c>
    </row>
    <row r="801" spans="1:10" hidden="1">
      <c r="A801" s="33">
        <v>6</v>
      </c>
      <c r="B801" s="32" t="s">
        <v>12</v>
      </c>
      <c r="C801" s="379">
        <f>VLOOKUP($F$32,таблица,18,0)</f>
        <v>0</v>
      </c>
      <c r="D801" s="380"/>
      <c r="J801" s="362" t="str">
        <f t="shared" si="126"/>
        <v>Пустая строка (убрать галочку)</v>
      </c>
    </row>
    <row r="802" spans="1:10" hidden="1">
      <c r="A802" s="33">
        <v>7</v>
      </c>
      <c r="B802" s="32" t="s">
        <v>88</v>
      </c>
      <c r="C802" s="379">
        <f>VLOOKUP($F$32,таблица,19,0)+VLOOKUP($F$32,таблица,21,0)+VLOOKUP($F$32,таблица,22,0)+VLOOKUP($F$32,таблица,23,0)+VLOOKUP($F$32,таблица,24,0)+VLOOKUP($F$32,таблица,25,0)+VLOOKUP($F$32,таблица,26,0)</f>
        <v>0</v>
      </c>
      <c r="D802" s="380"/>
      <c r="J802" s="362" t="str">
        <f t="shared" si="126"/>
        <v>Пустая строка (убрать галочку)</v>
      </c>
    </row>
    <row r="803" spans="1:10" hidden="1">
      <c r="A803" s="33">
        <v>8</v>
      </c>
      <c r="B803" s="32" t="s">
        <v>62</v>
      </c>
      <c r="C803" s="379">
        <f>VLOOKUP($F$32,таблица,31,0)</f>
        <v>0</v>
      </c>
      <c r="D803" s="380"/>
      <c r="J803" s="362" t="str">
        <f t="shared" si="126"/>
        <v>Пустая строка (убрать галочку)</v>
      </c>
    </row>
    <row r="804" spans="1:10" hidden="1">
      <c r="A804" s="33">
        <v>9</v>
      </c>
      <c r="B804" s="32" t="s">
        <v>127</v>
      </c>
      <c r="C804" s="379">
        <f>SUM(C796:D803)</f>
        <v>0</v>
      </c>
      <c r="D804" s="380"/>
      <c r="J804" s="362" t="str">
        <f t="shared" si="126"/>
        <v>Пустая строка (убрать галочку)</v>
      </c>
    </row>
    <row r="805" spans="1:10" hidden="1">
      <c r="A805" s="384" t="s">
        <v>122</v>
      </c>
      <c r="B805" s="384"/>
      <c r="C805" s="384"/>
      <c r="D805" s="384"/>
      <c r="J805" s="362" t="str">
        <f t="shared" si="126"/>
        <v>Пустая строка (убрать галочку)</v>
      </c>
    </row>
    <row r="806" spans="1:10" ht="31.5" hidden="1">
      <c r="A806" s="35" t="s">
        <v>67</v>
      </c>
      <c r="B806" s="63" t="s">
        <v>21</v>
      </c>
      <c r="C806" s="63" t="s">
        <v>114</v>
      </c>
      <c r="D806" s="63" t="s">
        <v>99</v>
      </c>
      <c r="J806" s="362" t="str">
        <f t="shared" si="126"/>
        <v>Пустая строка (убрать галочку)</v>
      </c>
    </row>
    <row r="807" spans="1:10" hidden="1">
      <c r="A807" s="33">
        <v>10</v>
      </c>
      <c r="B807" s="33" t="e">
        <f>VLOOKUP((VLOOKUP($F$32,таблица,8,0)),рем_содер,2,0)</f>
        <v>#N/A</v>
      </c>
      <c r="C807" s="33"/>
      <c r="D807" s="32"/>
      <c r="J807" s="362" t="str">
        <f t="shared" si="126"/>
        <v>Пустая строка (убрать галочку)</v>
      </c>
    </row>
    <row r="808" spans="1:10" hidden="1">
      <c r="A808" s="33">
        <f>IF(D808=0,0,A807+1)</f>
        <v>0</v>
      </c>
      <c r="B808" s="32" t="e">
        <f>CONCATENATE('Анализ стоимости'!$AW$1," г (",CHOOSE(VLOOKUP(F$32,таблица,43,0),"Январь","Февраль","Март","Апрель","Май","Июнь","Июль","Август","Сентябрь","Октябрь","Ноябрь","Декабрь")," - ",CHOOSE(VLOOKUP(F$32,таблица,44,0),"Январь","Февраль","Март","Апрель","Май","Июнь","Июль","Август","Сентябрь","Октябрь","Ноябрь","Декабрь"),")")</f>
        <v>#VALUE!</v>
      </c>
      <c r="C808" s="33" t="s">
        <v>115</v>
      </c>
      <c r="D808" s="55">
        <f>IF(D810=0,0,VLOOKUP($F$32,таблица,49,0)*100+100)</f>
        <v>0</v>
      </c>
      <c r="J808" s="362" t="str">
        <f>IF(D808=0,"Пустая строка (убрать галочку)",1)</f>
        <v>Пустая строка (убрать галочку)</v>
      </c>
    </row>
    <row r="809" spans="1:10" hidden="1">
      <c r="A809" s="33">
        <f>IF(D809=0,0,IF(D808=0,A807+1,A808+1))</f>
        <v>0</v>
      </c>
      <c r="B809" s="32" t="e">
        <f>CONCATENATE('Анализ стоимости'!$AX$1," г (",CHOOSE(VLOOKUP(F$32,таблица,45,0),"Январь","Февраль","Март","Апрель","Май","Июнь","Июль","Август","Сентябрь","Октябрь","Ноябрь","Декабрь")," - ",CHOOSE(VLOOKUP(F$32,таблица,46,0),"Январь","Февраль","Март","Апрель","Май","Июнь","Июль","Август","Сентябрь","Октябрь","Ноябрь","Декабрь"),")")</f>
        <v>#VALUE!</v>
      </c>
      <c r="C809" s="33" t="s">
        <v>115</v>
      </c>
      <c r="D809" s="55">
        <f>IF(D811=0,0,VLOOKUP($F$32,таблица,50,0)*100+100)</f>
        <v>0</v>
      </c>
      <c r="J809" s="362" t="str">
        <f>IF(D809=0,"Пустая строка (убрать галочку)",1)</f>
        <v>Пустая строка (убрать галочку)</v>
      </c>
    </row>
    <row r="810" spans="1:10" hidden="1">
      <c r="A810" s="33">
        <f>IF(D810=0,0,IF(D809=0,A808+1,A809+1))</f>
        <v>0</v>
      </c>
      <c r="B810" s="32" t="str">
        <f>"Рост стоимости "&amp;'Анализ стоимости'!$AW$1&amp;" г."</f>
        <v>Рост стоимости 2018 г.</v>
      </c>
      <c r="C810" s="33" t="s">
        <v>116</v>
      </c>
      <c r="D810" s="34">
        <f>VLOOKUP($F$32,таблица,38,0)</f>
        <v>0</v>
      </c>
      <c r="J810" s="362" t="str">
        <f>IF(D810=0,"Пустая строка (убрать галочку)",1)</f>
        <v>Пустая строка (убрать галочку)</v>
      </c>
    </row>
    <row r="811" spans="1:10" hidden="1">
      <c r="A811" s="33">
        <f>IF(D811=0,0,IF(D810=0,A809+1,A810+1))</f>
        <v>0</v>
      </c>
      <c r="B811" s="32" t="str">
        <f>"Рост стоимости "&amp;'Анализ стоимости'!$AX$1&amp;" г."</f>
        <v>Рост стоимости 2019 г.</v>
      </c>
      <c r="C811" s="33" t="s">
        <v>116</v>
      </c>
      <c r="D811" s="34">
        <f>VLOOKUP($F$32,таблица,40,0)</f>
        <v>0</v>
      </c>
      <c r="J811" s="362" t="str">
        <f>IF(D811=0,"Пустая строка (убрать галочку)",1)</f>
        <v>Пустая строка (убрать галочку)</v>
      </c>
    </row>
    <row r="812" spans="1:10" hidden="1">
      <c r="A812" s="384" t="s">
        <v>117</v>
      </c>
      <c r="B812" s="384"/>
      <c r="C812" s="384"/>
      <c r="D812" s="384"/>
      <c r="J812" s="362" t="str">
        <f>IF($F$32=0,"Пустая строка (убрать галочку)",1)</f>
        <v>Пустая строка (убрать галочку)</v>
      </c>
    </row>
    <row r="813" spans="1:10" ht="31.5" hidden="1">
      <c r="A813" s="33">
        <f>IF(D813=0,0,IF(D811=0,IF(D810=0,A807+1,A810+1),A811+1))</f>
        <v>0</v>
      </c>
      <c r="B81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813" s="33" t="s">
        <v>116</v>
      </c>
      <c r="D813" s="34">
        <f>SUM(VLOOKUP($F$32,таблица,37,0),D810)</f>
        <v>0</v>
      </c>
      <c r="E813" s="7"/>
      <c r="J813" s="362" t="str">
        <f t="shared" ref="J813:J819" si="127">IF(D813=0,"Пустая строка (убрать галочку)",1)</f>
        <v>Пустая строка (убрать галочку)</v>
      </c>
    </row>
    <row r="814" spans="1:10" hidden="1">
      <c r="A814" s="33">
        <f>IF(D814=0,0,A813+1)</f>
        <v>0</v>
      </c>
      <c r="B814" s="45" t="s">
        <v>119</v>
      </c>
      <c r="C814" s="33" t="s">
        <v>116</v>
      </c>
      <c r="D814" s="34">
        <f>VLOOKUP($F$32,таблица,39,0)</f>
        <v>0</v>
      </c>
      <c r="E814" s="7"/>
      <c r="J814" s="362" t="str">
        <f t="shared" si="127"/>
        <v>Пустая строка (убрать галочку)</v>
      </c>
    </row>
    <row r="815" spans="1:10" hidden="1">
      <c r="A815" s="33">
        <f>IF(D815=0,0,A814+1)</f>
        <v>0</v>
      </c>
      <c r="B815" s="45" t="str">
        <f>"Всего с НДС на "&amp;'Анализ стоимости'!$AW$1&amp;" г."</f>
        <v>Всего с НДС на 2018 г.</v>
      </c>
      <c r="C815" s="33" t="s">
        <v>116</v>
      </c>
      <c r="D815" s="46">
        <f>SUM(D813:D814)</f>
        <v>0</v>
      </c>
      <c r="E815" s="56">
        <f>VLOOKUP($F$32,таблица,51,0)</f>
        <v>0</v>
      </c>
      <c r="J815" s="362" t="str">
        <f t="shared" si="127"/>
        <v>Пустая строка (убрать галочку)</v>
      </c>
    </row>
    <row r="816" spans="1:10" ht="31.5" hidden="1">
      <c r="A816" s="33">
        <f>IF(D816=0,0,IF(D815=0,IF(D811=0,A807+1,A811+1),A815+1))</f>
        <v>0</v>
      </c>
      <c r="B81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816" s="33" t="s">
        <v>116</v>
      </c>
      <c r="D816" s="34">
        <f>VLOOKUP($F$32,таблица,36,0)-VLOOKUP($F$32,таблица,37,0)+D811</f>
        <v>0</v>
      </c>
      <c r="J816" s="362" t="str">
        <f t="shared" si="127"/>
        <v>Пустая строка (убрать галочку)</v>
      </c>
    </row>
    <row r="817" spans="1:10" hidden="1">
      <c r="A817" s="33">
        <f>IF(D817=0,0,A816+1)</f>
        <v>0</v>
      </c>
      <c r="B817" s="45" t="s">
        <v>119</v>
      </c>
      <c r="C817" s="33" t="s">
        <v>116</v>
      </c>
      <c r="D817" s="34">
        <f>VLOOKUP($F$32,таблица,41,0)</f>
        <v>0</v>
      </c>
      <c r="J817" s="362" t="str">
        <f t="shared" si="127"/>
        <v>Пустая строка (убрать галочку)</v>
      </c>
    </row>
    <row r="818" spans="1:10" hidden="1">
      <c r="A818" s="33">
        <f>IF(D818=0,0,A817+1)</f>
        <v>0</v>
      </c>
      <c r="B818" s="45" t="str">
        <f>"Всего с НДС на "&amp;'Анализ стоимости'!$AX$1&amp;" г."</f>
        <v>Всего с НДС на 2019 г.</v>
      </c>
      <c r="C818" s="33" t="s">
        <v>116</v>
      </c>
      <c r="D818" s="46">
        <f>SUM(D816:D817)</f>
        <v>0</v>
      </c>
      <c r="E818" s="56">
        <f>VLOOKUP($F$32,таблица,52,0)</f>
        <v>0</v>
      </c>
      <c r="J818" s="362" t="str">
        <f t="shared" si="127"/>
        <v>Пустая строка (убрать галочку)</v>
      </c>
    </row>
    <row r="819" spans="1:10" hidden="1">
      <c r="A819" s="33">
        <f>IF(D819=0,0,A818+1)</f>
        <v>0</v>
      </c>
      <c r="B819" s="45" t="s">
        <v>118</v>
      </c>
      <c r="C819" s="33" t="s">
        <v>116</v>
      </c>
      <c r="D819" s="46">
        <f>IF(OR(D815=0,D818=0),0,D818+D815)</f>
        <v>0</v>
      </c>
      <c r="E819" s="56">
        <f>VLOOKUP($F$32,таблица,42,0)</f>
        <v>0</v>
      </c>
      <c r="J819" s="362" t="str">
        <f t="shared" si="127"/>
        <v>Пустая строка (убрать галочку)</v>
      </c>
    </row>
    <row r="820" spans="1:10" hidden="1">
      <c r="A820" s="13"/>
      <c r="B820" s="13"/>
      <c r="C820" s="13"/>
      <c r="D820" s="14"/>
      <c r="J820" s="362" t="str">
        <f>IF($F$32=0,"Пустая строка (убрать галочку)",1)</f>
        <v>Пустая строка (убрать галочку)</v>
      </c>
    </row>
    <row r="821" spans="1:10" ht="47.25" hidden="1" customHeight="1">
      <c r="A82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821" s="382"/>
      <c r="C821" s="61"/>
      <c r="D821" s="48" t="str">
        <f>'Анализ стоимости'!$I$101</f>
        <v>Шестопал О.Н.</v>
      </c>
      <c r="G821" s="43" t="str">
        <f>A821</f>
        <v>Специалист администрации Старонижестеблиевского сельского поселения Красноармейского района</v>
      </c>
      <c r="J821" s="362" t="str">
        <f>IF($F$32=0,"Пустая строка (убрать галочку)",1)</f>
        <v>Пустая строка (убрать галочку)</v>
      </c>
    </row>
    <row r="822" spans="1:10" hidden="1">
      <c r="A822" s="49"/>
      <c r="B822" s="49"/>
      <c r="C822" s="49"/>
      <c r="D822" s="50"/>
      <c r="J822" s="362" t="str">
        <f>IF($F$32=0,"Пустая строка (убрать галочку)",1)</f>
        <v>Пустая строка (убрать галочку)</v>
      </c>
    </row>
    <row r="823" spans="1:10" hidden="1">
      <c r="A823" s="375"/>
      <c r="B823" s="375"/>
      <c r="C823" s="3"/>
      <c r="D823" s="3"/>
      <c r="J823" s="362" t="str">
        <f>IF($F$32=0,"Пустая строка (убрать галочку)",1)</f>
        <v>Пустая строка (убрать галочку)</v>
      </c>
    </row>
    <row r="824" spans="1:10" hidden="1">
      <c r="A824" s="385" t="s">
        <v>151</v>
      </c>
      <c r="B824" s="385"/>
      <c r="C824" s="385"/>
      <c r="D824" s="385"/>
      <c r="G824" s="37"/>
      <c r="H824" s="37"/>
      <c r="J824" s="362" t="str">
        <f t="shared" ref="J824:J841" si="128">IF($F$33=0,"Пустая строка (убрать галочку)",1)</f>
        <v>Пустая строка (убрать галочку)</v>
      </c>
    </row>
    <row r="825" spans="1:10" ht="47.25" hidden="1" customHeight="1">
      <c r="A825" s="376" t="str">
        <f>CONCATENATE("Наименование объекта: ",VLOOKUP($F$33,таблица,9,0))</f>
        <v xml:space="preserve">Наименование объекта: </v>
      </c>
      <c r="B825" s="376"/>
      <c r="C825" s="376"/>
      <c r="D825" s="376"/>
      <c r="I825" s="58" t="str">
        <f>A825</f>
        <v xml:space="preserve">Наименование объекта: </v>
      </c>
      <c r="J825" s="362" t="str">
        <f t="shared" si="128"/>
        <v>Пустая строка (убрать галочку)</v>
      </c>
    </row>
    <row r="826" spans="1:10" hidden="1">
      <c r="A826" s="30"/>
      <c r="B826" s="25"/>
      <c r="C826" s="25"/>
      <c r="D826" s="25"/>
      <c r="J826" s="362" t="str">
        <f t="shared" si="128"/>
        <v>Пустая строка (убрать галочку)</v>
      </c>
    </row>
    <row r="827" spans="1:10" hidden="1">
      <c r="A827" s="29" t="s">
        <v>111</v>
      </c>
      <c r="B827" s="22"/>
      <c r="C827" s="22"/>
      <c r="D827" s="22"/>
      <c r="J827" s="362" t="str">
        <f t="shared" si="128"/>
        <v>Пустая строка (убрать галочку)</v>
      </c>
    </row>
    <row r="828" spans="1:10" hidden="1">
      <c r="A828" s="383" t="s">
        <v>112</v>
      </c>
      <c r="B828" s="383"/>
      <c r="C828" s="383"/>
      <c r="D828" s="383"/>
      <c r="J828" s="362" t="str">
        <f t="shared" si="128"/>
        <v>Пустая строка (убрать галочку)</v>
      </c>
    </row>
    <row r="829" spans="1:10" ht="47.25" hidden="1">
      <c r="A829" s="63" t="s">
        <v>67</v>
      </c>
      <c r="B829" s="63" t="s">
        <v>98</v>
      </c>
      <c r="C829" s="377" t="str">
        <f>CONCATENATE("Стоимость  согласно сметной документации (руб.) в текущих ценах по состоянию на ",VLOOKUP($F$33,таблица,5,0)," г.")</f>
        <v>Стоимость  согласно сметной документации (руб.) в текущих ценах по состоянию на  г.</v>
      </c>
      <c r="D829" s="378"/>
      <c r="H829" s="44" t="str">
        <f>C829</f>
        <v>Стоимость  согласно сметной документации (руб.) в текущих ценах по состоянию на  г.</v>
      </c>
      <c r="J829" s="362" t="str">
        <f t="shared" si="128"/>
        <v>Пустая строка (убрать галочку)</v>
      </c>
    </row>
    <row r="830" spans="1:10" hidden="1">
      <c r="A830" s="33">
        <v>1</v>
      </c>
      <c r="B830" s="32" t="s">
        <v>46</v>
      </c>
      <c r="C830" s="379">
        <f>VLOOKUP($F$33,таблица,10,0)</f>
        <v>0</v>
      </c>
      <c r="D830" s="380"/>
      <c r="J830" s="362" t="str">
        <f t="shared" si="128"/>
        <v>Пустая строка (убрать галочку)</v>
      </c>
    </row>
    <row r="831" spans="1:10" hidden="1">
      <c r="A831" s="33">
        <v>2</v>
      </c>
      <c r="B831" s="32" t="s">
        <v>41</v>
      </c>
      <c r="C831" s="379">
        <f>VLOOKUP($F$33,таблица,11,0)</f>
        <v>0</v>
      </c>
      <c r="D831" s="380"/>
      <c r="J831" s="362" t="str">
        <f t="shared" si="128"/>
        <v>Пустая строка (убрать галочку)</v>
      </c>
    </row>
    <row r="832" spans="1:10" ht="31.5" hidden="1">
      <c r="A832" s="33">
        <v>3</v>
      </c>
      <c r="B832" s="32" t="s">
        <v>3</v>
      </c>
      <c r="C832" s="379">
        <f>VLOOKUP($F$33,таблица,12,0)</f>
        <v>0</v>
      </c>
      <c r="D832" s="380"/>
      <c r="J832" s="362" t="str">
        <f t="shared" si="128"/>
        <v>Пустая строка (убрать галочку)</v>
      </c>
    </row>
    <row r="833" spans="1:10" hidden="1">
      <c r="A833" s="33">
        <v>4</v>
      </c>
      <c r="B833" s="32" t="s">
        <v>42</v>
      </c>
      <c r="C833" s="379">
        <f>VLOOKUP($F$33,таблица,13,0)</f>
        <v>0</v>
      </c>
      <c r="D833" s="380"/>
      <c r="J833" s="362" t="str">
        <f t="shared" si="128"/>
        <v>Пустая строка (убрать галочку)</v>
      </c>
    </row>
    <row r="834" spans="1:10" hidden="1">
      <c r="A834" s="33">
        <v>5</v>
      </c>
      <c r="B834" s="32" t="s">
        <v>5</v>
      </c>
      <c r="C834" s="379">
        <f>VLOOKUP($F$33,таблица,14,0)</f>
        <v>0</v>
      </c>
      <c r="D834" s="380"/>
      <c r="J834" s="362" t="str">
        <f t="shared" si="128"/>
        <v>Пустая строка (убрать галочку)</v>
      </c>
    </row>
    <row r="835" spans="1:10" hidden="1">
      <c r="A835" s="33">
        <v>6</v>
      </c>
      <c r="B835" s="32" t="s">
        <v>12</v>
      </c>
      <c r="C835" s="379">
        <f>VLOOKUP($F$33,таблица,18,0)</f>
        <v>0</v>
      </c>
      <c r="D835" s="380"/>
      <c r="J835" s="362" t="str">
        <f t="shared" si="128"/>
        <v>Пустая строка (убрать галочку)</v>
      </c>
    </row>
    <row r="836" spans="1:10" hidden="1">
      <c r="A836" s="33">
        <v>7</v>
      </c>
      <c r="B836" s="32" t="s">
        <v>88</v>
      </c>
      <c r="C836" s="379">
        <f>VLOOKUP($F$33,таблица,19,0)+VLOOKUP($F$33,таблица,21,0)+VLOOKUP($F$33,таблица,22,0)+VLOOKUP($F$33,таблица,23,0)+VLOOKUP($F$33,таблица,24,0)+VLOOKUP($F$33,таблица,25,0)+VLOOKUP($F$33,таблица,26,0)</f>
        <v>0</v>
      </c>
      <c r="D836" s="380"/>
      <c r="J836" s="362" t="str">
        <f t="shared" si="128"/>
        <v>Пустая строка (убрать галочку)</v>
      </c>
    </row>
    <row r="837" spans="1:10" hidden="1">
      <c r="A837" s="33">
        <v>8</v>
      </c>
      <c r="B837" s="32" t="s">
        <v>62</v>
      </c>
      <c r="C837" s="379">
        <f>VLOOKUP($F$33,таблица,31,0)</f>
        <v>0</v>
      </c>
      <c r="D837" s="380"/>
      <c r="J837" s="362" t="str">
        <f t="shared" si="128"/>
        <v>Пустая строка (убрать галочку)</v>
      </c>
    </row>
    <row r="838" spans="1:10" hidden="1">
      <c r="A838" s="33">
        <v>9</v>
      </c>
      <c r="B838" s="32" t="s">
        <v>127</v>
      </c>
      <c r="C838" s="379">
        <f>SUM(C830:D837)</f>
        <v>0</v>
      </c>
      <c r="D838" s="380"/>
      <c r="J838" s="362" t="str">
        <f t="shared" si="128"/>
        <v>Пустая строка (убрать галочку)</v>
      </c>
    </row>
    <row r="839" spans="1:10" hidden="1">
      <c r="A839" s="384" t="s">
        <v>122</v>
      </c>
      <c r="B839" s="384"/>
      <c r="C839" s="384"/>
      <c r="D839" s="384"/>
      <c r="J839" s="362" t="str">
        <f t="shared" si="128"/>
        <v>Пустая строка (убрать галочку)</v>
      </c>
    </row>
    <row r="840" spans="1:10" ht="31.5" hidden="1">
      <c r="A840" s="35" t="s">
        <v>67</v>
      </c>
      <c r="B840" s="63" t="s">
        <v>21</v>
      </c>
      <c r="C840" s="63" t="s">
        <v>114</v>
      </c>
      <c r="D840" s="63" t="s">
        <v>99</v>
      </c>
      <c r="J840" s="362" t="str">
        <f t="shared" si="128"/>
        <v>Пустая строка (убрать галочку)</v>
      </c>
    </row>
    <row r="841" spans="1:10" hidden="1">
      <c r="A841" s="33">
        <v>10</v>
      </c>
      <c r="B841" s="33" t="e">
        <f>VLOOKUP((VLOOKUP($F$33,таблица,8,0)),рем_содер,2,0)</f>
        <v>#N/A</v>
      </c>
      <c r="C841" s="33"/>
      <c r="D841" s="32"/>
      <c r="J841" s="362" t="str">
        <f t="shared" si="128"/>
        <v>Пустая строка (убрать галочку)</v>
      </c>
    </row>
    <row r="842" spans="1:10" hidden="1">
      <c r="A842" s="33">
        <f>IF(D842=0,0,A841+1)</f>
        <v>0</v>
      </c>
      <c r="B842" s="32" t="e">
        <f>CONCATENATE('Анализ стоимости'!$AW$1," г (",CHOOSE(VLOOKUP(F$33,таблица,43,0),"Январь","Февраль","Март","Апрель","Май","Июнь","Июль","Август","Сентябрь","Октябрь","Ноябрь","Декабрь")," - ",CHOOSE(VLOOKUP(F$33,таблица,44,0),"Январь","Февраль","Март","Апрель","Май","Июнь","Июль","Август","Сентябрь","Октябрь","Ноябрь","Декабрь"),")")</f>
        <v>#VALUE!</v>
      </c>
      <c r="C842" s="33" t="s">
        <v>115</v>
      </c>
      <c r="D842" s="55">
        <f>IF(D844=0,0,VLOOKUP($F$33,таблица,49,0)*100+100)</f>
        <v>0</v>
      </c>
      <c r="J842" s="362" t="str">
        <f>IF(D842=0,"Пустая строка (убрать галочку)",1)</f>
        <v>Пустая строка (убрать галочку)</v>
      </c>
    </row>
    <row r="843" spans="1:10" hidden="1">
      <c r="A843" s="33">
        <f>IF(D843=0,0,IF(D842=0,A841+1,A842+1))</f>
        <v>0</v>
      </c>
      <c r="B843" s="32" t="e">
        <f>CONCATENATE('Анализ стоимости'!$AX$1," г (",CHOOSE(VLOOKUP(F$33,таблица,45,0),"Январь","Февраль","Март","Апрель","Май","Июнь","Июль","Август","Сентябрь","Октябрь","Ноябрь","Декабрь")," - ",CHOOSE(VLOOKUP(F$33,таблица,46,0),"Январь","Февраль","Март","Апрель","Май","Июнь","Июль","Август","Сентябрь","Октябрь","Ноябрь","Декабрь"),")")</f>
        <v>#VALUE!</v>
      </c>
      <c r="C843" s="33" t="s">
        <v>115</v>
      </c>
      <c r="D843" s="55">
        <f>IF(D845=0,0,VLOOKUP($F$33,таблица,50,0)*100+100)</f>
        <v>0</v>
      </c>
      <c r="J843" s="362" t="str">
        <f>IF(D843=0,"Пустая строка (убрать галочку)",1)</f>
        <v>Пустая строка (убрать галочку)</v>
      </c>
    </row>
    <row r="844" spans="1:10" hidden="1">
      <c r="A844" s="33">
        <f>IF(D844=0,0,IF(D843=0,A842+1,A843+1))</f>
        <v>0</v>
      </c>
      <c r="B844" s="32" t="str">
        <f>"Рост стоимости "&amp;'Анализ стоимости'!$AW$1&amp;" г."</f>
        <v>Рост стоимости 2018 г.</v>
      </c>
      <c r="C844" s="33" t="s">
        <v>116</v>
      </c>
      <c r="D844" s="34">
        <f>VLOOKUP($F$33,таблица,38,0)</f>
        <v>0</v>
      </c>
      <c r="J844" s="362" t="str">
        <f>IF(D844=0,"Пустая строка (убрать галочку)",1)</f>
        <v>Пустая строка (убрать галочку)</v>
      </c>
    </row>
    <row r="845" spans="1:10" hidden="1">
      <c r="A845" s="33">
        <f>IF(D845=0,0,IF(D844=0,A843+1,A844+1))</f>
        <v>0</v>
      </c>
      <c r="B845" s="32" t="str">
        <f>"Рост стоимости "&amp;'Анализ стоимости'!$AX$1&amp;" г."</f>
        <v>Рост стоимости 2019 г.</v>
      </c>
      <c r="C845" s="33" t="s">
        <v>116</v>
      </c>
      <c r="D845" s="34">
        <f>VLOOKUP($F$33,таблица,40,0)</f>
        <v>0</v>
      </c>
      <c r="J845" s="362" t="str">
        <f>IF(D845=0,"Пустая строка (убрать галочку)",1)</f>
        <v>Пустая строка (убрать галочку)</v>
      </c>
    </row>
    <row r="846" spans="1:10" hidden="1">
      <c r="A846" s="384" t="s">
        <v>117</v>
      </c>
      <c r="B846" s="384"/>
      <c r="C846" s="384"/>
      <c r="D846" s="384"/>
      <c r="J846" s="362" t="str">
        <f>IF($F$33=0,"Пустая строка (убрать галочку)",1)</f>
        <v>Пустая строка (убрать галочку)</v>
      </c>
    </row>
    <row r="847" spans="1:10" ht="31.5" hidden="1">
      <c r="A847" s="33">
        <f>IF(D847=0,0,IF(D845=0,IF(D844=0,A841+1,A844+1),A845+1))</f>
        <v>0</v>
      </c>
      <c r="B84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847" s="33" t="s">
        <v>116</v>
      </c>
      <c r="D847" s="34">
        <f>SUM(VLOOKUP($F$33,таблица,37,0),D844)</f>
        <v>0</v>
      </c>
      <c r="E847" s="7"/>
      <c r="J847" s="362" t="str">
        <f t="shared" ref="J847:J853" si="129">IF(D847=0,"Пустая строка (убрать галочку)",1)</f>
        <v>Пустая строка (убрать галочку)</v>
      </c>
    </row>
    <row r="848" spans="1:10" hidden="1">
      <c r="A848" s="33">
        <f>IF(D848=0,0,A847+1)</f>
        <v>0</v>
      </c>
      <c r="B848" s="45" t="s">
        <v>119</v>
      </c>
      <c r="C848" s="33" t="s">
        <v>116</v>
      </c>
      <c r="D848" s="34">
        <f>VLOOKUP($F$33,таблица,39,0)</f>
        <v>0</v>
      </c>
      <c r="E848" s="7"/>
      <c r="J848" s="362" t="str">
        <f t="shared" si="129"/>
        <v>Пустая строка (убрать галочку)</v>
      </c>
    </row>
    <row r="849" spans="1:10" hidden="1">
      <c r="A849" s="33">
        <f>IF(D849=0,0,A848+1)</f>
        <v>0</v>
      </c>
      <c r="B849" s="45" t="str">
        <f>"Всего с НДС на "&amp;'Анализ стоимости'!$AW$1&amp;" г."</f>
        <v>Всего с НДС на 2018 г.</v>
      </c>
      <c r="C849" s="33" t="s">
        <v>116</v>
      </c>
      <c r="D849" s="46">
        <f>SUM(D847:D848)</f>
        <v>0</v>
      </c>
      <c r="E849" s="56">
        <f>VLOOKUP($F$33,таблица,51,0)</f>
        <v>0</v>
      </c>
      <c r="J849" s="362" t="str">
        <f t="shared" si="129"/>
        <v>Пустая строка (убрать галочку)</v>
      </c>
    </row>
    <row r="850" spans="1:10" ht="31.5" hidden="1">
      <c r="A850" s="33">
        <f>IF(D850=0,0,IF(D849=0,IF(D845=0,A841+1,A845+1),A849+1))</f>
        <v>0</v>
      </c>
      <c r="B85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850" s="33" t="s">
        <v>116</v>
      </c>
      <c r="D850" s="34">
        <f>VLOOKUP($F$33,таблица,36,0)-VLOOKUP($F$33,таблица,37,0)+D845</f>
        <v>0</v>
      </c>
      <c r="J850" s="362" t="str">
        <f t="shared" si="129"/>
        <v>Пустая строка (убрать галочку)</v>
      </c>
    </row>
    <row r="851" spans="1:10" hidden="1">
      <c r="A851" s="33">
        <f>IF(D851=0,0,A850+1)</f>
        <v>0</v>
      </c>
      <c r="B851" s="45" t="s">
        <v>119</v>
      </c>
      <c r="C851" s="33" t="s">
        <v>116</v>
      </c>
      <c r="D851" s="34">
        <f>VLOOKUP($F$33,таблица,41,0)</f>
        <v>0</v>
      </c>
      <c r="J851" s="362" t="str">
        <f t="shared" si="129"/>
        <v>Пустая строка (убрать галочку)</v>
      </c>
    </row>
    <row r="852" spans="1:10" hidden="1">
      <c r="A852" s="33">
        <f>IF(D852=0,0,A851+1)</f>
        <v>0</v>
      </c>
      <c r="B852" s="45" t="str">
        <f>"Всего с НДС на "&amp;'Анализ стоимости'!$AX$1&amp;" г."</f>
        <v>Всего с НДС на 2019 г.</v>
      </c>
      <c r="C852" s="33" t="s">
        <v>116</v>
      </c>
      <c r="D852" s="46">
        <f>SUM(D850:D851)</f>
        <v>0</v>
      </c>
      <c r="E852" s="56">
        <f>VLOOKUP($F$33,таблица,52,0)</f>
        <v>0</v>
      </c>
      <c r="J852" s="362" t="str">
        <f t="shared" si="129"/>
        <v>Пустая строка (убрать галочку)</v>
      </c>
    </row>
    <row r="853" spans="1:10" hidden="1">
      <c r="A853" s="33">
        <f>IF(D853=0,0,A852+1)</f>
        <v>0</v>
      </c>
      <c r="B853" s="45" t="s">
        <v>118</v>
      </c>
      <c r="C853" s="33" t="s">
        <v>116</v>
      </c>
      <c r="D853" s="46">
        <f>IF(OR(D849=0,D852=0),0,D852+D849)</f>
        <v>0</v>
      </c>
      <c r="E853" s="56">
        <f>VLOOKUP($F$33,таблица,42,0)</f>
        <v>0</v>
      </c>
      <c r="J853" s="362" t="str">
        <f t="shared" si="129"/>
        <v>Пустая строка (убрать галочку)</v>
      </c>
    </row>
    <row r="854" spans="1:10" hidden="1">
      <c r="A854" s="13"/>
      <c r="B854" s="13"/>
      <c r="C854" s="13"/>
      <c r="D854" s="14"/>
      <c r="J854" s="362" t="str">
        <f>IF($F$33=0,"Пустая строка (убрать галочку)",1)</f>
        <v>Пустая строка (убрать галочку)</v>
      </c>
    </row>
    <row r="855" spans="1:10" ht="47.25" hidden="1" customHeight="1">
      <c r="A85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855" s="382"/>
      <c r="C855" s="61"/>
      <c r="D855" s="48" t="str">
        <f>'Анализ стоимости'!$I$101</f>
        <v>Шестопал О.Н.</v>
      </c>
      <c r="G855" s="43" t="str">
        <f>A855</f>
        <v>Специалист администрации Старонижестеблиевского сельского поселения Красноармейского района</v>
      </c>
      <c r="J855" s="362" t="str">
        <f>IF($F$33=0,"Пустая строка (убрать галочку)",1)</f>
        <v>Пустая строка (убрать галочку)</v>
      </c>
    </row>
    <row r="856" spans="1:10" hidden="1">
      <c r="A856" s="49"/>
      <c r="B856" s="49"/>
      <c r="C856" s="49"/>
      <c r="D856" s="50"/>
      <c r="J856" s="362" t="str">
        <f>IF($F$33=0,"Пустая строка (убрать галочку)",1)</f>
        <v>Пустая строка (убрать галочку)</v>
      </c>
    </row>
    <row r="857" spans="1:10" hidden="1">
      <c r="A857" s="375"/>
      <c r="B857" s="375"/>
      <c r="C857" s="3"/>
      <c r="D857" s="3"/>
      <c r="J857" s="362" t="str">
        <f>IF($F$33=0,"Пустая строка (убрать галочку)",1)</f>
        <v>Пустая строка (убрать галочку)</v>
      </c>
    </row>
    <row r="858" spans="1:10" s="3" customFormat="1" hidden="1">
      <c r="A858" s="385" t="s">
        <v>168</v>
      </c>
      <c r="B858" s="385"/>
      <c r="C858" s="385"/>
      <c r="D858" s="385"/>
      <c r="E858" s="16"/>
      <c r="G858" s="37"/>
      <c r="H858" s="37"/>
      <c r="I858" s="1"/>
      <c r="J858" s="362" t="str">
        <f t="shared" ref="J858:J875" si="130">IF($F$34=0,"Пустая строка (убрать галочку)",1)</f>
        <v>Пустая строка (убрать галочку)</v>
      </c>
    </row>
    <row r="859" spans="1:10" ht="47.25" hidden="1" customHeight="1">
      <c r="A859" s="376" t="str">
        <f>CONCATENATE("Наименование объекта: ",VLOOKUP($F$34,таблица,9,0))</f>
        <v xml:space="preserve">Наименование объекта: </v>
      </c>
      <c r="B859" s="376"/>
      <c r="C859" s="376"/>
      <c r="D859" s="376"/>
      <c r="I859" s="58" t="str">
        <f>A859</f>
        <v xml:space="preserve">Наименование объекта: </v>
      </c>
      <c r="J859" s="362" t="str">
        <f t="shared" si="130"/>
        <v>Пустая строка (убрать галочку)</v>
      </c>
    </row>
    <row r="860" spans="1:10" ht="13.5" hidden="1" customHeight="1">
      <c r="A860" s="30"/>
      <c r="B860" s="25"/>
      <c r="C860" s="25"/>
      <c r="D860" s="25"/>
      <c r="J860" s="362" t="str">
        <f t="shared" si="130"/>
        <v>Пустая строка (убрать галочку)</v>
      </c>
    </row>
    <row r="861" spans="1:10" hidden="1">
      <c r="A861" s="29" t="s">
        <v>111</v>
      </c>
      <c r="B861" s="22"/>
      <c r="C861" s="22"/>
      <c r="D861" s="22"/>
      <c r="J861" s="362" t="str">
        <f t="shared" si="130"/>
        <v>Пустая строка (убрать галочку)</v>
      </c>
    </row>
    <row r="862" spans="1:10" hidden="1">
      <c r="A862" s="383" t="s">
        <v>112</v>
      </c>
      <c r="B862" s="383"/>
      <c r="C862" s="383"/>
      <c r="D862" s="383"/>
      <c r="J862" s="362" t="str">
        <f t="shared" si="130"/>
        <v>Пустая строка (убрать галочку)</v>
      </c>
    </row>
    <row r="863" spans="1:10" ht="47.25" hidden="1">
      <c r="A863" s="68" t="s">
        <v>67</v>
      </c>
      <c r="B863" s="68" t="s">
        <v>98</v>
      </c>
      <c r="C863" s="377" t="str">
        <f>CONCATENATE("Стоимость  согласно сметной документации (руб.) в текущих ценах по состоянию на ",VLOOKUP($F$34,таблица,5,0)," г.")</f>
        <v>Стоимость  согласно сметной документации (руб.) в текущих ценах по состоянию на  г.</v>
      </c>
      <c r="D863" s="378"/>
      <c r="H863" s="44" t="str">
        <f>C863</f>
        <v>Стоимость  согласно сметной документации (руб.) в текущих ценах по состоянию на  г.</v>
      </c>
      <c r="J863" s="362" t="str">
        <f t="shared" si="130"/>
        <v>Пустая строка (убрать галочку)</v>
      </c>
    </row>
    <row r="864" spans="1:10" hidden="1">
      <c r="A864" s="33">
        <v>1</v>
      </c>
      <c r="B864" s="32" t="s">
        <v>46</v>
      </c>
      <c r="C864" s="379">
        <f>VLOOKUP($F$34,таблица,10,0)</f>
        <v>0</v>
      </c>
      <c r="D864" s="380"/>
      <c r="J864" s="362" t="str">
        <f t="shared" si="130"/>
        <v>Пустая строка (убрать галочку)</v>
      </c>
    </row>
    <row r="865" spans="1:10" hidden="1">
      <c r="A865" s="33">
        <v>2</v>
      </c>
      <c r="B865" s="32" t="s">
        <v>41</v>
      </c>
      <c r="C865" s="379">
        <f>VLOOKUP($F$34,таблица,11,0)</f>
        <v>0</v>
      </c>
      <c r="D865" s="380"/>
      <c r="J865" s="362" t="str">
        <f t="shared" si="130"/>
        <v>Пустая строка (убрать галочку)</v>
      </c>
    </row>
    <row r="866" spans="1:10" ht="31.5" hidden="1">
      <c r="A866" s="33">
        <v>3</v>
      </c>
      <c r="B866" s="32" t="s">
        <v>3</v>
      </c>
      <c r="C866" s="379">
        <f>VLOOKUP($F$34,таблица,12,0)</f>
        <v>0</v>
      </c>
      <c r="D866" s="380"/>
      <c r="J866" s="362" t="str">
        <f t="shared" si="130"/>
        <v>Пустая строка (убрать галочку)</v>
      </c>
    </row>
    <row r="867" spans="1:10" hidden="1">
      <c r="A867" s="33">
        <v>4</v>
      </c>
      <c r="B867" s="32" t="s">
        <v>42</v>
      </c>
      <c r="C867" s="379">
        <f>VLOOKUP($F$34,таблица,13,0)</f>
        <v>0</v>
      </c>
      <c r="D867" s="380"/>
      <c r="J867" s="362" t="str">
        <f t="shared" si="130"/>
        <v>Пустая строка (убрать галочку)</v>
      </c>
    </row>
    <row r="868" spans="1:10" hidden="1">
      <c r="A868" s="33">
        <v>5</v>
      </c>
      <c r="B868" s="32" t="s">
        <v>5</v>
      </c>
      <c r="C868" s="379">
        <f>VLOOKUP($F$34,таблица,14,0)</f>
        <v>0</v>
      </c>
      <c r="D868" s="380"/>
      <c r="J868" s="362" t="str">
        <f t="shared" si="130"/>
        <v>Пустая строка (убрать галочку)</v>
      </c>
    </row>
    <row r="869" spans="1:10" hidden="1">
      <c r="A869" s="33">
        <v>6</v>
      </c>
      <c r="B869" s="32" t="s">
        <v>12</v>
      </c>
      <c r="C869" s="379">
        <f>VLOOKUP($F$34,таблица,18,0)</f>
        <v>0</v>
      </c>
      <c r="D869" s="380"/>
      <c r="J869" s="362" t="str">
        <f t="shared" si="130"/>
        <v>Пустая строка (убрать галочку)</v>
      </c>
    </row>
    <row r="870" spans="1:10" hidden="1">
      <c r="A870" s="33">
        <v>7</v>
      </c>
      <c r="B870" s="32" t="s">
        <v>88</v>
      </c>
      <c r="C870" s="379">
        <f>VLOOKUP($F$34,таблица,19,0)+VLOOKUP($F$34,таблица,21,0)+VLOOKUP($F$34,таблица,22,0)+VLOOKUP($F$34,таблица,23,0)+VLOOKUP($F$34,таблица,24,0)+VLOOKUP($F$34,таблица,25,0)+VLOOKUP($F$34,таблица,26,0)</f>
        <v>0</v>
      </c>
      <c r="D870" s="380"/>
      <c r="J870" s="362" t="str">
        <f t="shared" si="130"/>
        <v>Пустая строка (убрать галочку)</v>
      </c>
    </row>
    <row r="871" spans="1:10" hidden="1">
      <c r="A871" s="33">
        <v>8</v>
      </c>
      <c r="B871" s="32" t="s">
        <v>62</v>
      </c>
      <c r="C871" s="379">
        <f>VLOOKUP($F$34,таблица,31,0)</f>
        <v>0</v>
      </c>
      <c r="D871" s="380"/>
      <c r="J871" s="362" t="str">
        <f t="shared" si="130"/>
        <v>Пустая строка (убрать галочку)</v>
      </c>
    </row>
    <row r="872" spans="1:10" hidden="1">
      <c r="A872" s="33">
        <v>9</v>
      </c>
      <c r="B872" s="32" t="s">
        <v>127</v>
      </c>
      <c r="C872" s="379">
        <f>SUM(C864:D871)</f>
        <v>0</v>
      </c>
      <c r="D872" s="380"/>
      <c r="J872" s="362" t="str">
        <f t="shared" si="130"/>
        <v>Пустая строка (убрать галочку)</v>
      </c>
    </row>
    <row r="873" spans="1:10" hidden="1">
      <c r="A873" s="384" t="s">
        <v>122</v>
      </c>
      <c r="B873" s="384"/>
      <c r="C873" s="384"/>
      <c r="D873" s="384"/>
      <c r="J873" s="362" t="str">
        <f t="shared" si="130"/>
        <v>Пустая строка (убрать галочку)</v>
      </c>
    </row>
    <row r="874" spans="1:10" ht="31.5" hidden="1">
      <c r="A874" s="35" t="s">
        <v>67</v>
      </c>
      <c r="B874" s="68" t="s">
        <v>21</v>
      </c>
      <c r="C874" s="68" t="s">
        <v>114</v>
      </c>
      <c r="D874" s="68" t="s">
        <v>99</v>
      </c>
      <c r="J874" s="362" t="str">
        <f t="shared" si="130"/>
        <v>Пустая строка (убрать галочку)</v>
      </c>
    </row>
    <row r="875" spans="1:10" hidden="1">
      <c r="A875" s="33">
        <v>10</v>
      </c>
      <c r="B875" s="33" t="e">
        <f>VLOOKUP((VLOOKUP($F$34,таблица,8,0)),рем_содер,2,0)</f>
        <v>#N/A</v>
      </c>
      <c r="C875" s="33"/>
      <c r="D875" s="32"/>
      <c r="J875" s="362" t="str">
        <f t="shared" si="130"/>
        <v>Пустая строка (убрать галочку)</v>
      </c>
    </row>
    <row r="876" spans="1:10" hidden="1">
      <c r="A876" s="33">
        <f>IF(D876=0,0,A875+1)</f>
        <v>0</v>
      </c>
      <c r="B876" s="32" t="e">
        <f>CONCATENATE('Анализ стоимости'!$AW$1," г (",CHOOSE(VLOOKUP(F$34,таблица,43,0),"Январь","Февраль","Март","Апрель","Май","Июнь","Июль","Август","Сентябрь","Октябрь","Ноябрь","Декабрь")," - ",CHOOSE(VLOOKUP(F$34,таблица,44,0),"Январь","Февраль","Март","Апрель","Май","Июнь","Июль","Август","Сентябрь","Октябрь","Ноябрь","Декабрь"),")")</f>
        <v>#VALUE!</v>
      </c>
      <c r="C876" s="33" t="s">
        <v>115</v>
      </c>
      <c r="D876" s="55">
        <f>IF(D878=0,0,VLOOKUP($F$34,таблица,49,0)*100+100)</f>
        <v>0</v>
      </c>
      <c r="J876" s="362" t="str">
        <f>IF(D876=0,"Пустая строка (убрать галочку)",1)</f>
        <v>Пустая строка (убрать галочку)</v>
      </c>
    </row>
    <row r="877" spans="1:10" hidden="1">
      <c r="A877" s="33">
        <f>IF(D877=0,0,IF(D876=0,A875+1,A876+1))</f>
        <v>0</v>
      </c>
      <c r="B877" s="32" t="e">
        <f>CONCATENATE('Анализ стоимости'!$AX$1," г (",CHOOSE(VLOOKUP(F$34,таблица,45,0),"Январь","Февраль","Март","Апрель","Май","Июнь","Июль","Август","Сентябрь","Октябрь","Ноябрь","Декабрь")," - ",CHOOSE(VLOOKUP(F$34,таблица,46,0),"Январь","Февраль","Март","Апрель","Май","Июнь","Июль","Август","Сентябрь","Октябрь","Ноябрь","Декабрь"),")")</f>
        <v>#VALUE!</v>
      </c>
      <c r="C877" s="33" t="s">
        <v>115</v>
      </c>
      <c r="D877" s="55">
        <f>IF(D879=0,0,VLOOKUP($F$34,таблица,50,0)*100+100)</f>
        <v>0</v>
      </c>
      <c r="J877" s="362" t="str">
        <f>IF(D877=0,"Пустая строка (убрать галочку)",1)</f>
        <v>Пустая строка (убрать галочку)</v>
      </c>
    </row>
    <row r="878" spans="1:10" hidden="1">
      <c r="A878" s="33">
        <f>IF(D878=0,0,IF(D877=0,A876+1,A877+1))</f>
        <v>0</v>
      </c>
      <c r="B878" s="32" t="str">
        <f>"Рост стоимости "&amp;'Анализ стоимости'!$AW$1&amp;" г."</f>
        <v>Рост стоимости 2018 г.</v>
      </c>
      <c r="C878" s="33" t="s">
        <v>116</v>
      </c>
      <c r="D878" s="34">
        <f>VLOOKUP($F$34,таблица,38,0)</f>
        <v>0</v>
      </c>
      <c r="J878" s="362" t="str">
        <f>IF(D878=0,"Пустая строка (убрать галочку)",1)</f>
        <v>Пустая строка (убрать галочку)</v>
      </c>
    </row>
    <row r="879" spans="1:10" hidden="1">
      <c r="A879" s="33">
        <f>IF(D879=0,0,IF(D878=0,A877+1,A878+1))</f>
        <v>0</v>
      </c>
      <c r="B879" s="32" t="str">
        <f>"Рост стоимости "&amp;'Анализ стоимости'!$AX$1&amp;" г."</f>
        <v>Рост стоимости 2019 г.</v>
      </c>
      <c r="C879" s="33" t="s">
        <v>116</v>
      </c>
      <c r="D879" s="34">
        <f>VLOOKUP($F$34,таблица,40,0)</f>
        <v>0</v>
      </c>
      <c r="J879" s="362" t="str">
        <f>IF(D879=0,"Пустая строка (убрать галочку)",1)</f>
        <v>Пустая строка (убрать галочку)</v>
      </c>
    </row>
    <row r="880" spans="1:10" hidden="1">
      <c r="A880" s="384" t="s">
        <v>117</v>
      </c>
      <c r="B880" s="384"/>
      <c r="C880" s="384"/>
      <c r="D880" s="384"/>
      <c r="J880" s="362" t="str">
        <f>IF($F$34=0,"Пустая строка (убрать галочку)",1)</f>
        <v>Пустая строка (убрать галочку)</v>
      </c>
    </row>
    <row r="881" spans="1:10" ht="31.5" hidden="1">
      <c r="A881" s="33">
        <f>IF(D881=0,0,IF(D879=0,IF(D878=0,A875+1,A878+1),A879+1))</f>
        <v>0</v>
      </c>
      <c r="B88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881" s="33" t="s">
        <v>116</v>
      </c>
      <c r="D881" s="34">
        <f>SUM(VLOOKUP($F$34,таблица,37,0),D878)</f>
        <v>0</v>
      </c>
      <c r="E881" s="7"/>
      <c r="J881" s="362" t="str">
        <f t="shared" ref="J881:J887" si="131">IF(D881=0,"Пустая строка (убрать галочку)",1)</f>
        <v>Пустая строка (убрать галочку)</v>
      </c>
    </row>
    <row r="882" spans="1:10" hidden="1">
      <c r="A882" s="33">
        <f>IF(D882=0,0,A881+1)</f>
        <v>0</v>
      </c>
      <c r="B882" s="45" t="s">
        <v>119</v>
      </c>
      <c r="C882" s="33" t="s">
        <v>116</v>
      </c>
      <c r="D882" s="34">
        <f>VLOOKUP($F$34,таблица,39,0)</f>
        <v>0</v>
      </c>
      <c r="E882" s="7"/>
      <c r="J882" s="362" t="str">
        <f t="shared" si="131"/>
        <v>Пустая строка (убрать галочку)</v>
      </c>
    </row>
    <row r="883" spans="1:10" hidden="1">
      <c r="A883" s="33">
        <f>IF(D883=0,0,A882+1)</f>
        <v>0</v>
      </c>
      <c r="B883" s="45" t="str">
        <f>"Всего с НДС на "&amp;'Анализ стоимости'!$AW$1&amp;" г."</f>
        <v>Всего с НДС на 2018 г.</v>
      </c>
      <c r="C883" s="33" t="s">
        <v>116</v>
      </c>
      <c r="D883" s="46">
        <f>SUM(D881:D882)</f>
        <v>0</v>
      </c>
      <c r="E883" s="56">
        <f>VLOOKUP($F$34,таблица,51,0)</f>
        <v>0</v>
      </c>
      <c r="J883" s="362" t="str">
        <f t="shared" si="131"/>
        <v>Пустая строка (убрать галочку)</v>
      </c>
    </row>
    <row r="884" spans="1:10" ht="31.5" hidden="1">
      <c r="A884" s="33">
        <f>IF(D884=0,0,IF(D883=0,IF(D879=0,A875+1,A879+1),A883+1))</f>
        <v>0</v>
      </c>
      <c r="B88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884" s="33" t="s">
        <v>116</v>
      </c>
      <c r="D884" s="34">
        <f>VLOOKUP($F$34,таблица,36,0)-VLOOKUP($F$34,таблица,37,0)+D879</f>
        <v>0</v>
      </c>
      <c r="J884" s="362" t="str">
        <f t="shared" si="131"/>
        <v>Пустая строка (убрать галочку)</v>
      </c>
    </row>
    <row r="885" spans="1:10" hidden="1">
      <c r="A885" s="33">
        <f>IF(D885=0,0,A884+1)</f>
        <v>0</v>
      </c>
      <c r="B885" s="45" t="s">
        <v>119</v>
      </c>
      <c r="C885" s="33" t="s">
        <v>116</v>
      </c>
      <c r="D885" s="34">
        <f>VLOOKUP($F$34,таблица,41,0)</f>
        <v>0</v>
      </c>
      <c r="J885" s="362" t="str">
        <f t="shared" si="131"/>
        <v>Пустая строка (убрать галочку)</v>
      </c>
    </row>
    <row r="886" spans="1:10" hidden="1">
      <c r="A886" s="33">
        <f>IF(D886=0,0,A885+1)</f>
        <v>0</v>
      </c>
      <c r="B886" s="45" t="str">
        <f>"Всего с НДС на "&amp;'Анализ стоимости'!$AX$1&amp;" г."</f>
        <v>Всего с НДС на 2019 г.</v>
      </c>
      <c r="C886" s="33" t="s">
        <v>116</v>
      </c>
      <c r="D886" s="46">
        <f>SUM(D884:D885)</f>
        <v>0</v>
      </c>
      <c r="E886" s="56">
        <f>VLOOKUP($F$34,таблица,52,0)</f>
        <v>0</v>
      </c>
      <c r="J886" s="362" t="str">
        <f t="shared" si="131"/>
        <v>Пустая строка (убрать галочку)</v>
      </c>
    </row>
    <row r="887" spans="1:10" hidden="1">
      <c r="A887" s="33">
        <f>IF(D887=0,0,A886+1)</f>
        <v>0</v>
      </c>
      <c r="B887" s="45" t="s">
        <v>118</v>
      </c>
      <c r="C887" s="33" t="s">
        <v>116</v>
      </c>
      <c r="D887" s="46">
        <f>IF(OR(D883=0,D886=0),0,D886+D883)</f>
        <v>0</v>
      </c>
      <c r="E887" s="56">
        <f>VLOOKUP($F$34,таблица,42,0)</f>
        <v>0</v>
      </c>
      <c r="J887" s="362" t="str">
        <f t="shared" si="131"/>
        <v>Пустая строка (убрать галочку)</v>
      </c>
    </row>
    <row r="888" spans="1:10" hidden="1">
      <c r="A888" s="13"/>
      <c r="B888" s="13"/>
      <c r="C888" s="13"/>
      <c r="D888" s="14"/>
      <c r="J888" s="362" t="str">
        <f>IF($F$34=0,"Пустая строка (убрать галочку)",1)</f>
        <v>Пустая строка (убрать галочку)</v>
      </c>
    </row>
    <row r="889" spans="1:10" ht="47.25" hidden="1" customHeight="1">
      <c r="A88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889" s="382"/>
      <c r="C889" s="67"/>
      <c r="D889" s="48" t="str">
        <f>'Анализ стоимости'!$I$101</f>
        <v>Шестопал О.Н.</v>
      </c>
      <c r="G889" s="43" t="str">
        <f>A889</f>
        <v>Специалист администрации Старонижестеблиевского сельского поселения Красноармейского района</v>
      </c>
      <c r="J889" s="362" t="str">
        <f>IF($F$34=0,"Пустая строка (убрать галочку)",1)</f>
        <v>Пустая строка (убрать галочку)</v>
      </c>
    </row>
    <row r="890" spans="1:10" hidden="1">
      <c r="A890" s="49"/>
      <c r="B890" s="49"/>
      <c r="C890" s="49"/>
      <c r="D890" s="50"/>
      <c r="J890" s="362" t="str">
        <f>IF($F$34=0,"Пустая строка (убрать галочку)",1)</f>
        <v>Пустая строка (убрать галочку)</v>
      </c>
    </row>
    <row r="891" spans="1:10" hidden="1">
      <c r="A891" s="375"/>
      <c r="B891" s="375"/>
      <c r="C891" s="3"/>
      <c r="D891" s="3"/>
      <c r="J891" s="362" t="str">
        <f>IF($F$34=0,"Пустая строка (убрать галочку)",1)</f>
        <v>Пустая строка (убрать галочку)</v>
      </c>
    </row>
    <row r="892" spans="1:10" hidden="1">
      <c r="A892" s="385" t="s">
        <v>169</v>
      </c>
      <c r="B892" s="385"/>
      <c r="C892" s="385"/>
      <c r="D892" s="385"/>
      <c r="G892" s="37"/>
      <c r="H892" s="37"/>
      <c r="J892" s="362" t="str">
        <f t="shared" ref="J892:J909" si="132">IF($F$35=0,"Пустая строка (убрать галочку)",1)</f>
        <v>Пустая строка (убрать галочку)</v>
      </c>
    </row>
    <row r="893" spans="1:10" ht="47.25" hidden="1" customHeight="1">
      <c r="A893" s="376" t="str">
        <f>CONCATENATE("Наименование объекта: ",VLOOKUP($F$35,таблица,9,0))</f>
        <v xml:space="preserve">Наименование объекта: </v>
      </c>
      <c r="B893" s="376"/>
      <c r="C893" s="376"/>
      <c r="D893" s="376"/>
      <c r="I893" s="58" t="str">
        <f>A893</f>
        <v xml:space="preserve">Наименование объекта: </v>
      </c>
      <c r="J893" s="362" t="str">
        <f t="shared" si="132"/>
        <v>Пустая строка (убрать галочку)</v>
      </c>
    </row>
    <row r="894" spans="1:10" hidden="1">
      <c r="A894" s="30"/>
      <c r="B894" s="25"/>
      <c r="C894" s="25"/>
      <c r="D894" s="25"/>
      <c r="J894" s="362" t="str">
        <f t="shared" si="132"/>
        <v>Пустая строка (убрать галочку)</v>
      </c>
    </row>
    <row r="895" spans="1:10" hidden="1">
      <c r="A895" s="29" t="s">
        <v>111</v>
      </c>
      <c r="B895" s="22"/>
      <c r="C895" s="22"/>
      <c r="D895" s="22"/>
      <c r="J895" s="362" t="str">
        <f t="shared" si="132"/>
        <v>Пустая строка (убрать галочку)</v>
      </c>
    </row>
    <row r="896" spans="1:10" hidden="1">
      <c r="A896" s="383" t="s">
        <v>112</v>
      </c>
      <c r="B896" s="383"/>
      <c r="C896" s="383"/>
      <c r="D896" s="383"/>
      <c r="J896" s="362" t="str">
        <f t="shared" si="132"/>
        <v>Пустая строка (убрать галочку)</v>
      </c>
    </row>
    <row r="897" spans="1:10" ht="47.25" hidden="1">
      <c r="A897" s="68" t="s">
        <v>67</v>
      </c>
      <c r="B897" s="68" t="s">
        <v>98</v>
      </c>
      <c r="C897" s="377" t="str">
        <f>CONCATENATE("Стоимость  согласно сметной документации (руб.) в текущих ценах по состоянию на ",VLOOKUP($F$35,таблица,5,0)," г.")</f>
        <v>Стоимость  согласно сметной документации (руб.) в текущих ценах по состоянию на  г.</v>
      </c>
      <c r="D897" s="378"/>
      <c r="H897" s="44" t="str">
        <f>C897</f>
        <v>Стоимость  согласно сметной документации (руб.) в текущих ценах по состоянию на  г.</v>
      </c>
      <c r="J897" s="362" t="str">
        <f t="shared" si="132"/>
        <v>Пустая строка (убрать галочку)</v>
      </c>
    </row>
    <row r="898" spans="1:10" hidden="1">
      <c r="A898" s="33">
        <v>1</v>
      </c>
      <c r="B898" s="32" t="s">
        <v>46</v>
      </c>
      <c r="C898" s="379">
        <f>VLOOKUP($F$35,таблица,10,0)</f>
        <v>0</v>
      </c>
      <c r="D898" s="380"/>
      <c r="J898" s="362" t="str">
        <f t="shared" si="132"/>
        <v>Пустая строка (убрать галочку)</v>
      </c>
    </row>
    <row r="899" spans="1:10" hidden="1">
      <c r="A899" s="33">
        <v>2</v>
      </c>
      <c r="B899" s="32" t="s">
        <v>41</v>
      </c>
      <c r="C899" s="379">
        <f>VLOOKUP($F$35,таблица,11,0)</f>
        <v>0</v>
      </c>
      <c r="D899" s="380"/>
      <c r="J899" s="362" t="str">
        <f t="shared" si="132"/>
        <v>Пустая строка (убрать галочку)</v>
      </c>
    </row>
    <row r="900" spans="1:10" ht="31.5" hidden="1">
      <c r="A900" s="33">
        <v>3</v>
      </c>
      <c r="B900" s="32" t="s">
        <v>3</v>
      </c>
      <c r="C900" s="379">
        <f>VLOOKUP($F$35,таблица,12,0)</f>
        <v>0</v>
      </c>
      <c r="D900" s="380"/>
      <c r="J900" s="362" t="str">
        <f t="shared" si="132"/>
        <v>Пустая строка (убрать галочку)</v>
      </c>
    </row>
    <row r="901" spans="1:10" hidden="1">
      <c r="A901" s="33">
        <v>4</v>
      </c>
      <c r="B901" s="32" t="s">
        <v>42</v>
      </c>
      <c r="C901" s="379">
        <f>VLOOKUP($F$35,таблица,13,0)</f>
        <v>0</v>
      </c>
      <c r="D901" s="380"/>
      <c r="J901" s="362" t="str">
        <f t="shared" si="132"/>
        <v>Пустая строка (убрать галочку)</v>
      </c>
    </row>
    <row r="902" spans="1:10" hidden="1">
      <c r="A902" s="33">
        <v>5</v>
      </c>
      <c r="B902" s="32" t="s">
        <v>5</v>
      </c>
      <c r="C902" s="379">
        <f>VLOOKUP($F$35,таблица,14,0)</f>
        <v>0</v>
      </c>
      <c r="D902" s="380"/>
      <c r="J902" s="362" t="str">
        <f t="shared" si="132"/>
        <v>Пустая строка (убрать галочку)</v>
      </c>
    </row>
    <row r="903" spans="1:10" hidden="1">
      <c r="A903" s="33">
        <v>6</v>
      </c>
      <c r="B903" s="32" t="s">
        <v>12</v>
      </c>
      <c r="C903" s="379">
        <f>VLOOKUP($F$35,таблица,18,0)</f>
        <v>0</v>
      </c>
      <c r="D903" s="380"/>
      <c r="J903" s="362" t="str">
        <f t="shared" si="132"/>
        <v>Пустая строка (убрать галочку)</v>
      </c>
    </row>
    <row r="904" spans="1:10" hidden="1">
      <c r="A904" s="33">
        <v>7</v>
      </c>
      <c r="B904" s="32" t="s">
        <v>88</v>
      </c>
      <c r="C904" s="379">
        <f>VLOOKUP($F$35,таблица,19,0)+VLOOKUP($F$35,таблица,21,0)+VLOOKUP($F$35,таблица,22,0)+VLOOKUP($F$35,таблица,23,0)+VLOOKUP($F$35,таблица,24,0)+VLOOKUP($F$35,таблица,25,0)+VLOOKUP($F$35,таблица,26,0)</f>
        <v>0</v>
      </c>
      <c r="D904" s="380"/>
      <c r="J904" s="362" t="str">
        <f t="shared" si="132"/>
        <v>Пустая строка (убрать галочку)</v>
      </c>
    </row>
    <row r="905" spans="1:10" hidden="1">
      <c r="A905" s="33">
        <v>8</v>
      </c>
      <c r="B905" s="32" t="s">
        <v>62</v>
      </c>
      <c r="C905" s="379">
        <f>VLOOKUP($F$35,таблица,31,0)</f>
        <v>0</v>
      </c>
      <c r="D905" s="380"/>
      <c r="J905" s="362" t="str">
        <f t="shared" si="132"/>
        <v>Пустая строка (убрать галочку)</v>
      </c>
    </row>
    <row r="906" spans="1:10" hidden="1">
      <c r="A906" s="33">
        <v>9</v>
      </c>
      <c r="B906" s="32" t="s">
        <v>127</v>
      </c>
      <c r="C906" s="379">
        <f>SUM(C898:D905)</f>
        <v>0</v>
      </c>
      <c r="D906" s="380"/>
      <c r="J906" s="362" t="str">
        <f t="shared" si="132"/>
        <v>Пустая строка (убрать галочку)</v>
      </c>
    </row>
    <row r="907" spans="1:10" hidden="1">
      <c r="A907" s="384" t="s">
        <v>122</v>
      </c>
      <c r="B907" s="384"/>
      <c r="C907" s="384"/>
      <c r="D907" s="384"/>
      <c r="J907" s="362" t="str">
        <f t="shared" si="132"/>
        <v>Пустая строка (убрать галочку)</v>
      </c>
    </row>
    <row r="908" spans="1:10" ht="31.5" hidden="1">
      <c r="A908" s="35" t="s">
        <v>67</v>
      </c>
      <c r="B908" s="68" t="s">
        <v>21</v>
      </c>
      <c r="C908" s="68" t="s">
        <v>114</v>
      </c>
      <c r="D908" s="68" t="s">
        <v>99</v>
      </c>
      <c r="J908" s="362" t="str">
        <f t="shared" si="132"/>
        <v>Пустая строка (убрать галочку)</v>
      </c>
    </row>
    <row r="909" spans="1:10" hidden="1">
      <c r="A909" s="33">
        <v>10</v>
      </c>
      <c r="B909" s="33" t="e">
        <f>VLOOKUP((VLOOKUP($F$35,таблица,8,0)),рем_содер,2,0)</f>
        <v>#N/A</v>
      </c>
      <c r="C909" s="33"/>
      <c r="D909" s="32"/>
      <c r="J909" s="362" t="str">
        <f t="shared" si="132"/>
        <v>Пустая строка (убрать галочку)</v>
      </c>
    </row>
    <row r="910" spans="1:10" hidden="1">
      <c r="A910" s="33">
        <f>IF(D910=0,0,A909+1)</f>
        <v>0</v>
      </c>
      <c r="B910" s="32" t="e">
        <f>CONCATENATE('Анализ стоимости'!$AW$1," г (",CHOOSE(VLOOKUP(F$35,таблица,43,0),"Январь","Февраль","Март","Апрель","Май","Июнь","Июль","Август","Сентябрь","Октябрь","Ноябрь","Декабрь")," - ",CHOOSE(VLOOKUP(F$35,таблица,44,0),"Январь","Февраль","Март","Апрель","Май","Июнь","Июль","Август","Сентябрь","Октябрь","Ноябрь","Декабрь"),")")</f>
        <v>#VALUE!</v>
      </c>
      <c r="C910" s="33" t="s">
        <v>115</v>
      </c>
      <c r="D910" s="55">
        <f>IF(D912=0,0,VLOOKUP($F$35,таблица,49,0)*100+100)</f>
        <v>0</v>
      </c>
      <c r="J910" s="362" t="str">
        <f>IF(D910=0,"Пустая строка (убрать галочку)",1)</f>
        <v>Пустая строка (убрать галочку)</v>
      </c>
    </row>
    <row r="911" spans="1:10" hidden="1">
      <c r="A911" s="33">
        <f>IF(D911=0,0,IF(D910=0,A909+1,A910+1))</f>
        <v>0</v>
      </c>
      <c r="B911" s="32" t="e">
        <f>CONCATENATE('Анализ стоимости'!$AX$1," г (",CHOOSE(VLOOKUP(F$35,таблица,45,0),"Январь","Февраль","Март","Апрель","Май","Июнь","Июль","Август","Сентябрь","Октябрь","Ноябрь","Декабрь")," - ",CHOOSE(VLOOKUP(F$35,таблица,46,0),"Январь","Февраль","Март","Апрель","Май","Июнь","Июль","Август","Сентябрь","Октябрь","Ноябрь","Декабрь"),")")</f>
        <v>#VALUE!</v>
      </c>
      <c r="C911" s="33" t="s">
        <v>115</v>
      </c>
      <c r="D911" s="55">
        <f>IF(D913=0,0,VLOOKUP($F$35,таблица,50,0)*100+100)</f>
        <v>0</v>
      </c>
      <c r="J911" s="362" t="str">
        <f>IF(D911=0,"Пустая строка (убрать галочку)",1)</f>
        <v>Пустая строка (убрать галочку)</v>
      </c>
    </row>
    <row r="912" spans="1:10" hidden="1">
      <c r="A912" s="33">
        <f>IF(D912=0,0,IF(D911=0,A910+1,A911+1))</f>
        <v>0</v>
      </c>
      <c r="B912" s="32" t="str">
        <f>"Рост стоимости "&amp;'Анализ стоимости'!$AW$1&amp;" г."</f>
        <v>Рост стоимости 2018 г.</v>
      </c>
      <c r="C912" s="33" t="s">
        <v>116</v>
      </c>
      <c r="D912" s="34">
        <f>VLOOKUP($F$35,таблица,38,0)</f>
        <v>0</v>
      </c>
      <c r="J912" s="362" t="str">
        <f>IF(D912=0,"Пустая строка (убрать галочку)",1)</f>
        <v>Пустая строка (убрать галочку)</v>
      </c>
    </row>
    <row r="913" spans="1:10" hidden="1">
      <c r="A913" s="33">
        <f>IF(D913=0,0,IF(D912=0,A911+1,A912+1))</f>
        <v>0</v>
      </c>
      <c r="B913" s="32" t="str">
        <f>"Рост стоимости "&amp;'Анализ стоимости'!$AX$1&amp;" г."</f>
        <v>Рост стоимости 2019 г.</v>
      </c>
      <c r="C913" s="33" t="s">
        <v>116</v>
      </c>
      <c r="D913" s="34">
        <f>VLOOKUP($F$35,таблица,40,0)</f>
        <v>0</v>
      </c>
      <c r="J913" s="362" t="str">
        <f>IF(D913=0,"Пустая строка (убрать галочку)",1)</f>
        <v>Пустая строка (убрать галочку)</v>
      </c>
    </row>
    <row r="914" spans="1:10" hidden="1">
      <c r="A914" s="384" t="s">
        <v>117</v>
      </c>
      <c r="B914" s="384"/>
      <c r="C914" s="384"/>
      <c r="D914" s="384"/>
      <c r="J914" s="362" t="str">
        <f>IF($F$35=0,"Пустая строка (убрать галочку)",1)</f>
        <v>Пустая строка (убрать галочку)</v>
      </c>
    </row>
    <row r="915" spans="1:10" ht="31.5" hidden="1">
      <c r="A915" s="33">
        <f>IF(D915=0,0,IF(D913=0,IF(D912=0,A909+1,A912+1),A913+1))</f>
        <v>0</v>
      </c>
      <c r="B91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915" s="33" t="s">
        <v>116</v>
      </c>
      <c r="D915" s="34">
        <f>SUM(VLOOKUP($F$35,таблица,37,0),D912)</f>
        <v>0</v>
      </c>
      <c r="E915" s="7"/>
      <c r="J915" s="362" t="str">
        <f t="shared" ref="J915:J921" si="133">IF(D915=0,"Пустая строка (убрать галочку)",1)</f>
        <v>Пустая строка (убрать галочку)</v>
      </c>
    </row>
    <row r="916" spans="1:10" hidden="1">
      <c r="A916" s="33">
        <f>IF(D916=0,0,A915+1)</f>
        <v>0</v>
      </c>
      <c r="B916" s="45" t="s">
        <v>119</v>
      </c>
      <c r="C916" s="33" t="s">
        <v>116</v>
      </c>
      <c r="D916" s="34">
        <f>VLOOKUP($F$35,таблица,39,0)</f>
        <v>0</v>
      </c>
      <c r="E916" s="7"/>
      <c r="J916" s="362" t="str">
        <f t="shared" si="133"/>
        <v>Пустая строка (убрать галочку)</v>
      </c>
    </row>
    <row r="917" spans="1:10" hidden="1">
      <c r="A917" s="33">
        <f>IF(D917=0,0,A916+1)</f>
        <v>0</v>
      </c>
      <c r="B917" s="45" t="str">
        <f>"Всего с НДС на "&amp;'Анализ стоимости'!$AW$1&amp;" г."</f>
        <v>Всего с НДС на 2018 г.</v>
      </c>
      <c r="C917" s="33" t="s">
        <v>116</v>
      </c>
      <c r="D917" s="46">
        <f>SUM(D915:D916)</f>
        <v>0</v>
      </c>
      <c r="E917" s="56">
        <f>VLOOKUP($F$35,таблица,51,0)</f>
        <v>0</v>
      </c>
      <c r="J917" s="362" t="str">
        <f t="shared" si="133"/>
        <v>Пустая строка (убрать галочку)</v>
      </c>
    </row>
    <row r="918" spans="1:10" ht="31.5" hidden="1">
      <c r="A918" s="33">
        <f>IF(D918=0,0,IF(D917=0,IF(D913=0,A909+1,A913+1),A917+1))</f>
        <v>0</v>
      </c>
      <c r="B91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918" s="33" t="s">
        <v>116</v>
      </c>
      <c r="D918" s="34">
        <f>VLOOKUP($F$35,таблица,36,0)-VLOOKUP($F$35,таблица,37,0)+D913</f>
        <v>0</v>
      </c>
      <c r="J918" s="362" t="str">
        <f t="shared" si="133"/>
        <v>Пустая строка (убрать галочку)</v>
      </c>
    </row>
    <row r="919" spans="1:10" hidden="1">
      <c r="A919" s="33">
        <f>IF(D919=0,0,A918+1)</f>
        <v>0</v>
      </c>
      <c r="B919" s="45" t="s">
        <v>119</v>
      </c>
      <c r="C919" s="33" t="s">
        <v>116</v>
      </c>
      <c r="D919" s="34">
        <f>VLOOKUP($F$35,таблица,41,0)</f>
        <v>0</v>
      </c>
      <c r="J919" s="362" t="str">
        <f t="shared" si="133"/>
        <v>Пустая строка (убрать галочку)</v>
      </c>
    </row>
    <row r="920" spans="1:10" hidden="1">
      <c r="A920" s="33">
        <f>IF(D920=0,0,A919+1)</f>
        <v>0</v>
      </c>
      <c r="B920" s="45" t="str">
        <f>"Всего с НДС на "&amp;'Анализ стоимости'!$AX$1&amp;" г."</f>
        <v>Всего с НДС на 2019 г.</v>
      </c>
      <c r="C920" s="33" t="s">
        <v>116</v>
      </c>
      <c r="D920" s="46">
        <f>SUM(D918:D919)</f>
        <v>0</v>
      </c>
      <c r="E920" s="56">
        <f>VLOOKUP($F$35,таблица,52,0)</f>
        <v>0</v>
      </c>
      <c r="J920" s="362" t="str">
        <f t="shared" si="133"/>
        <v>Пустая строка (убрать галочку)</v>
      </c>
    </row>
    <row r="921" spans="1:10" hidden="1">
      <c r="A921" s="33">
        <f>IF(D921=0,0,A920+1)</f>
        <v>0</v>
      </c>
      <c r="B921" s="45" t="s">
        <v>118</v>
      </c>
      <c r="C921" s="33" t="s">
        <v>116</v>
      </c>
      <c r="D921" s="46">
        <f>IF(OR(D917=0,D920=0),0,D920+D917)</f>
        <v>0</v>
      </c>
      <c r="E921" s="56">
        <f>VLOOKUP($F$35,таблица,42,0)</f>
        <v>0</v>
      </c>
      <c r="J921" s="362" t="str">
        <f t="shared" si="133"/>
        <v>Пустая строка (убрать галочку)</v>
      </c>
    </row>
    <row r="922" spans="1:10" hidden="1">
      <c r="A922" s="13"/>
      <c r="B922" s="13"/>
      <c r="C922" s="13"/>
      <c r="D922" s="14"/>
      <c r="J922" s="362" t="str">
        <f>IF($F$35=0,"Пустая строка (убрать галочку)",1)</f>
        <v>Пустая строка (убрать галочку)</v>
      </c>
    </row>
    <row r="923" spans="1:10" ht="47.25" hidden="1" customHeight="1">
      <c r="A92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923" s="382"/>
      <c r="C923" s="67"/>
      <c r="D923" s="48" t="str">
        <f>'Анализ стоимости'!$I$101</f>
        <v>Шестопал О.Н.</v>
      </c>
      <c r="G923" s="43" t="str">
        <f>A923</f>
        <v>Специалист администрации Старонижестеблиевского сельского поселения Красноармейского района</v>
      </c>
      <c r="J923" s="362" t="str">
        <f>IF($F$35=0,"Пустая строка (убрать галочку)",1)</f>
        <v>Пустая строка (убрать галочку)</v>
      </c>
    </row>
    <row r="924" spans="1:10" hidden="1">
      <c r="A924" s="49"/>
      <c r="B924" s="49"/>
      <c r="C924" s="49"/>
      <c r="D924" s="50"/>
      <c r="J924" s="362" t="str">
        <f>IF($F$35=0,"Пустая строка (убрать галочку)",1)</f>
        <v>Пустая строка (убрать галочку)</v>
      </c>
    </row>
    <row r="925" spans="1:10" hidden="1">
      <c r="A925" s="375"/>
      <c r="B925" s="375"/>
      <c r="C925" s="3"/>
      <c r="D925" s="3"/>
      <c r="J925" s="362" t="str">
        <f>IF($F$35=0,"Пустая строка (убрать галочку)",1)</f>
        <v>Пустая строка (убрать галочку)</v>
      </c>
    </row>
    <row r="926" spans="1:10" hidden="1">
      <c r="A926" s="385" t="s">
        <v>170</v>
      </c>
      <c r="B926" s="385"/>
      <c r="C926" s="385"/>
      <c r="D926" s="385"/>
      <c r="G926" s="37"/>
      <c r="H926" s="37"/>
      <c r="J926" s="362" t="str">
        <f t="shared" ref="J926:J943" si="134">IF($F$36=0,"Пустая строка (убрать галочку)",1)</f>
        <v>Пустая строка (убрать галочку)</v>
      </c>
    </row>
    <row r="927" spans="1:10" ht="47.25" hidden="1" customHeight="1">
      <c r="A927" s="376" t="str">
        <f>CONCATENATE("Наименование объекта: ",VLOOKUP($F$36,таблица,9,0))</f>
        <v xml:space="preserve">Наименование объекта: </v>
      </c>
      <c r="B927" s="376"/>
      <c r="C927" s="376"/>
      <c r="D927" s="376"/>
      <c r="I927" s="58" t="str">
        <f>A927</f>
        <v xml:space="preserve">Наименование объекта: </v>
      </c>
      <c r="J927" s="362" t="str">
        <f t="shared" si="134"/>
        <v>Пустая строка (убрать галочку)</v>
      </c>
    </row>
    <row r="928" spans="1:10" hidden="1">
      <c r="A928" s="30"/>
      <c r="B928" s="25"/>
      <c r="C928" s="25"/>
      <c r="D928" s="25"/>
      <c r="J928" s="362" t="str">
        <f t="shared" si="134"/>
        <v>Пустая строка (убрать галочку)</v>
      </c>
    </row>
    <row r="929" spans="1:10" hidden="1">
      <c r="A929" s="29" t="s">
        <v>111</v>
      </c>
      <c r="B929" s="22"/>
      <c r="C929" s="22"/>
      <c r="D929" s="22"/>
      <c r="J929" s="362" t="str">
        <f t="shared" si="134"/>
        <v>Пустая строка (убрать галочку)</v>
      </c>
    </row>
    <row r="930" spans="1:10" hidden="1">
      <c r="A930" s="383" t="s">
        <v>112</v>
      </c>
      <c r="B930" s="383"/>
      <c r="C930" s="383"/>
      <c r="D930" s="383"/>
      <c r="J930" s="362" t="str">
        <f t="shared" si="134"/>
        <v>Пустая строка (убрать галочку)</v>
      </c>
    </row>
    <row r="931" spans="1:10" ht="47.25" hidden="1">
      <c r="A931" s="68" t="s">
        <v>67</v>
      </c>
      <c r="B931" s="68" t="s">
        <v>98</v>
      </c>
      <c r="C931" s="377" t="str">
        <f>CONCATENATE("Стоимость  согласно сметной документации (руб.) в текущих ценах по состоянию на ",VLOOKUP($F$36,таблица,5,0)," г.")</f>
        <v>Стоимость  согласно сметной документации (руб.) в текущих ценах по состоянию на  г.</v>
      </c>
      <c r="D931" s="378"/>
      <c r="H931" s="44" t="str">
        <f>C931</f>
        <v>Стоимость  согласно сметной документации (руб.) в текущих ценах по состоянию на  г.</v>
      </c>
      <c r="J931" s="362" t="str">
        <f t="shared" si="134"/>
        <v>Пустая строка (убрать галочку)</v>
      </c>
    </row>
    <row r="932" spans="1:10" hidden="1">
      <c r="A932" s="33">
        <v>1</v>
      </c>
      <c r="B932" s="32" t="s">
        <v>46</v>
      </c>
      <c r="C932" s="379">
        <f>VLOOKUP($F$36,таблица,10,0)</f>
        <v>0</v>
      </c>
      <c r="D932" s="380"/>
      <c r="J932" s="362" t="str">
        <f t="shared" si="134"/>
        <v>Пустая строка (убрать галочку)</v>
      </c>
    </row>
    <row r="933" spans="1:10" hidden="1">
      <c r="A933" s="33">
        <v>2</v>
      </c>
      <c r="B933" s="32" t="s">
        <v>41</v>
      </c>
      <c r="C933" s="379">
        <f>VLOOKUP($F$36,таблица,11,0)</f>
        <v>0</v>
      </c>
      <c r="D933" s="380"/>
      <c r="J933" s="362" t="str">
        <f t="shared" si="134"/>
        <v>Пустая строка (убрать галочку)</v>
      </c>
    </row>
    <row r="934" spans="1:10" ht="31.5" hidden="1">
      <c r="A934" s="33">
        <v>3</v>
      </c>
      <c r="B934" s="32" t="s">
        <v>3</v>
      </c>
      <c r="C934" s="379">
        <f>VLOOKUP($F$36,таблица,12,0)</f>
        <v>0</v>
      </c>
      <c r="D934" s="380"/>
      <c r="J934" s="362" t="str">
        <f t="shared" si="134"/>
        <v>Пустая строка (убрать галочку)</v>
      </c>
    </row>
    <row r="935" spans="1:10" hidden="1">
      <c r="A935" s="33">
        <v>4</v>
      </c>
      <c r="B935" s="32" t="s">
        <v>42</v>
      </c>
      <c r="C935" s="379">
        <f>VLOOKUP($F$36,таблица,13,0)</f>
        <v>0</v>
      </c>
      <c r="D935" s="380"/>
      <c r="J935" s="362" t="str">
        <f t="shared" si="134"/>
        <v>Пустая строка (убрать галочку)</v>
      </c>
    </row>
    <row r="936" spans="1:10" hidden="1">
      <c r="A936" s="33">
        <v>5</v>
      </c>
      <c r="B936" s="32" t="s">
        <v>5</v>
      </c>
      <c r="C936" s="379">
        <f>VLOOKUP($F$36,таблица,14,0)</f>
        <v>0</v>
      </c>
      <c r="D936" s="380"/>
      <c r="J936" s="362" t="str">
        <f t="shared" si="134"/>
        <v>Пустая строка (убрать галочку)</v>
      </c>
    </row>
    <row r="937" spans="1:10" hidden="1">
      <c r="A937" s="33">
        <v>6</v>
      </c>
      <c r="B937" s="32" t="s">
        <v>12</v>
      </c>
      <c r="C937" s="379">
        <f>VLOOKUP($F$36,таблица,18,0)</f>
        <v>0</v>
      </c>
      <c r="D937" s="380"/>
      <c r="J937" s="362" t="str">
        <f t="shared" si="134"/>
        <v>Пустая строка (убрать галочку)</v>
      </c>
    </row>
    <row r="938" spans="1:10" hidden="1">
      <c r="A938" s="33">
        <v>7</v>
      </c>
      <c r="B938" s="32" t="s">
        <v>88</v>
      </c>
      <c r="C938" s="379">
        <f>VLOOKUP($F$36,таблица,19,0)+VLOOKUP($F$36,таблица,21,0)+VLOOKUP($F$36,таблица,22,0)+VLOOKUP($F$36,таблица,23,0)+VLOOKUP($F$36,таблица,24,0)+VLOOKUP($F$36,таблица,25,0)+VLOOKUP($F$36,таблица,26,0)</f>
        <v>0</v>
      </c>
      <c r="D938" s="380"/>
      <c r="J938" s="362" t="str">
        <f t="shared" si="134"/>
        <v>Пустая строка (убрать галочку)</v>
      </c>
    </row>
    <row r="939" spans="1:10" hidden="1">
      <c r="A939" s="33">
        <v>8</v>
      </c>
      <c r="B939" s="32" t="s">
        <v>62</v>
      </c>
      <c r="C939" s="379">
        <f>VLOOKUP($F$36,таблица,31,0)</f>
        <v>0</v>
      </c>
      <c r="D939" s="380"/>
      <c r="J939" s="362" t="str">
        <f t="shared" si="134"/>
        <v>Пустая строка (убрать галочку)</v>
      </c>
    </row>
    <row r="940" spans="1:10" hidden="1">
      <c r="A940" s="33">
        <v>9</v>
      </c>
      <c r="B940" s="32" t="s">
        <v>127</v>
      </c>
      <c r="C940" s="379">
        <f>SUM(C932:D939)</f>
        <v>0</v>
      </c>
      <c r="D940" s="380"/>
      <c r="J940" s="362" t="str">
        <f t="shared" si="134"/>
        <v>Пустая строка (убрать галочку)</v>
      </c>
    </row>
    <row r="941" spans="1:10" hidden="1">
      <c r="A941" s="384" t="s">
        <v>122</v>
      </c>
      <c r="B941" s="384"/>
      <c r="C941" s="384"/>
      <c r="D941" s="384"/>
      <c r="J941" s="362" t="str">
        <f t="shared" si="134"/>
        <v>Пустая строка (убрать галочку)</v>
      </c>
    </row>
    <row r="942" spans="1:10" ht="31.5" hidden="1">
      <c r="A942" s="35" t="s">
        <v>67</v>
      </c>
      <c r="B942" s="68" t="s">
        <v>21</v>
      </c>
      <c r="C942" s="68" t="s">
        <v>114</v>
      </c>
      <c r="D942" s="68" t="s">
        <v>99</v>
      </c>
      <c r="J942" s="362" t="str">
        <f t="shared" si="134"/>
        <v>Пустая строка (убрать галочку)</v>
      </c>
    </row>
    <row r="943" spans="1:10" hidden="1">
      <c r="A943" s="33">
        <v>10</v>
      </c>
      <c r="B943" s="33" t="e">
        <f>VLOOKUP((VLOOKUP($F$36,таблица,8,0)),рем_содер,2,0)</f>
        <v>#N/A</v>
      </c>
      <c r="C943" s="33"/>
      <c r="D943" s="32"/>
      <c r="J943" s="362" t="str">
        <f t="shared" si="134"/>
        <v>Пустая строка (убрать галочку)</v>
      </c>
    </row>
    <row r="944" spans="1:10" hidden="1">
      <c r="A944" s="33">
        <f>IF(D944=0,0,A943+1)</f>
        <v>0</v>
      </c>
      <c r="B944" s="32" t="e">
        <f>CONCATENATE('Анализ стоимости'!$AW$1," г (",CHOOSE(VLOOKUP(F$36,таблица,43,0),"Январь","Февраль","Март","Апрель","Май","Июнь","Июль","Август","Сентябрь","Октябрь","Ноябрь","Декабрь")," - ",CHOOSE(VLOOKUP(F$36,таблица,44,0),"Январь","Февраль","Март","Апрель","Май","Июнь","Июль","Август","Сентябрь","Октябрь","Ноябрь","Декабрь"),")")</f>
        <v>#VALUE!</v>
      </c>
      <c r="C944" s="33" t="s">
        <v>115</v>
      </c>
      <c r="D944" s="55">
        <f>IF(D946=0,0,VLOOKUP($F$36,таблица,49,0)*100+100)</f>
        <v>0</v>
      </c>
      <c r="J944" s="362" t="str">
        <f>IF(D944=0,"Пустая строка (убрать галочку)",1)</f>
        <v>Пустая строка (убрать галочку)</v>
      </c>
    </row>
    <row r="945" spans="1:10" hidden="1">
      <c r="A945" s="33">
        <f>IF(D945=0,0,IF(D944=0,A943+1,A944+1))</f>
        <v>0</v>
      </c>
      <c r="B945" s="32" t="e">
        <f>CONCATENATE('Анализ стоимости'!$AX$1," г (",CHOOSE(VLOOKUP(F$36,таблица,45,0),"Январь","Февраль","Март","Апрель","Май","Июнь","Июль","Август","Сентябрь","Октябрь","Ноябрь","Декабрь")," - ",CHOOSE(VLOOKUP(F$36,таблица,46,0),"Январь","Февраль","Март","Апрель","Май","Июнь","Июль","Август","Сентябрь","Октябрь","Ноябрь","Декабрь"),")")</f>
        <v>#VALUE!</v>
      </c>
      <c r="C945" s="33" t="s">
        <v>115</v>
      </c>
      <c r="D945" s="55">
        <f>IF(D947=0,0,VLOOKUP($F$36,таблица,50,0)*100+100)</f>
        <v>0</v>
      </c>
      <c r="J945" s="362" t="str">
        <f>IF(D945=0,"Пустая строка (убрать галочку)",1)</f>
        <v>Пустая строка (убрать галочку)</v>
      </c>
    </row>
    <row r="946" spans="1:10" hidden="1">
      <c r="A946" s="33">
        <f>IF(D946=0,0,IF(D945=0,A944+1,A945+1))</f>
        <v>0</v>
      </c>
      <c r="B946" s="32" t="str">
        <f>"Рост стоимости "&amp;'Анализ стоимости'!$AW$1&amp;" г."</f>
        <v>Рост стоимости 2018 г.</v>
      </c>
      <c r="C946" s="33" t="s">
        <v>116</v>
      </c>
      <c r="D946" s="34">
        <f>VLOOKUP($F$36,таблица,38,0)</f>
        <v>0</v>
      </c>
      <c r="J946" s="362" t="str">
        <f>IF(D946=0,"Пустая строка (убрать галочку)",1)</f>
        <v>Пустая строка (убрать галочку)</v>
      </c>
    </row>
    <row r="947" spans="1:10" hidden="1">
      <c r="A947" s="33">
        <f>IF(D947=0,0,IF(D946=0,A945+1,A946+1))</f>
        <v>0</v>
      </c>
      <c r="B947" s="32" t="str">
        <f>"Рост стоимости "&amp;'Анализ стоимости'!$AX$1&amp;" г."</f>
        <v>Рост стоимости 2019 г.</v>
      </c>
      <c r="C947" s="33" t="s">
        <v>116</v>
      </c>
      <c r="D947" s="34">
        <f>VLOOKUP($F$36,таблица,40,0)</f>
        <v>0</v>
      </c>
      <c r="J947" s="362" t="str">
        <f>IF(D947=0,"Пустая строка (убрать галочку)",1)</f>
        <v>Пустая строка (убрать галочку)</v>
      </c>
    </row>
    <row r="948" spans="1:10" hidden="1">
      <c r="A948" s="384" t="s">
        <v>117</v>
      </c>
      <c r="B948" s="384"/>
      <c r="C948" s="384"/>
      <c r="D948" s="384"/>
      <c r="J948" s="362" t="str">
        <f>IF($F$36=0,"Пустая строка (убрать галочку)",1)</f>
        <v>Пустая строка (убрать галочку)</v>
      </c>
    </row>
    <row r="949" spans="1:10" ht="31.5" hidden="1">
      <c r="A949" s="33">
        <f>IF(D949=0,0,IF(D947=0,IF(D946=0,A943+1,A946+1),A947+1))</f>
        <v>0</v>
      </c>
      <c r="B94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949" s="33" t="s">
        <v>116</v>
      </c>
      <c r="D949" s="34">
        <f>SUM(VLOOKUP($F$36,таблица,37,0),D946)</f>
        <v>0</v>
      </c>
      <c r="E949" s="7"/>
      <c r="J949" s="362" t="str">
        <f t="shared" ref="J949:J955" si="135">IF(D949=0,"Пустая строка (убрать галочку)",1)</f>
        <v>Пустая строка (убрать галочку)</v>
      </c>
    </row>
    <row r="950" spans="1:10" hidden="1">
      <c r="A950" s="33">
        <f>IF(D950=0,0,A949+1)</f>
        <v>0</v>
      </c>
      <c r="B950" s="45" t="s">
        <v>119</v>
      </c>
      <c r="C950" s="33" t="s">
        <v>116</v>
      </c>
      <c r="D950" s="34">
        <f>VLOOKUP($F$36,таблица,39,0)</f>
        <v>0</v>
      </c>
      <c r="E950" s="7"/>
      <c r="J950" s="362" t="str">
        <f t="shared" si="135"/>
        <v>Пустая строка (убрать галочку)</v>
      </c>
    </row>
    <row r="951" spans="1:10" hidden="1">
      <c r="A951" s="33">
        <f>IF(D951=0,0,A950+1)</f>
        <v>0</v>
      </c>
      <c r="B951" s="45" t="str">
        <f>"Всего с НДС на "&amp;'Анализ стоимости'!$AW$1&amp;" г."</f>
        <v>Всего с НДС на 2018 г.</v>
      </c>
      <c r="C951" s="33" t="s">
        <v>116</v>
      </c>
      <c r="D951" s="46">
        <f>SUM(D949:D950)</f>
        <v>0</v>
      </c>
      <c r="E951" s="56">
        <f>VLOOKUP($F$36,таблица,51,0)</f>
        <v>0</v>
      </c>
      <c r="J951" s="362" t="str">
        <f t="shared" si="135"/>
        <v>Пустая строка (убрать галочку)</v>
      </c>
    </row>
    <row r="952" spans="1:10" ht="31.5" hidden="1">
      <c r="A952" s="33">
        <f>IF(D952=0,0,IF(D951=0,IF(D947=0,A943+1,A947+1),A951+1))</f>
        <v>0</v>
      </c>
      <c r="B95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952" s="33" t="s">
        <v>116</v>
      </c>
      <c r="D952" s="34">
        <f>VLOOKUP($F$36,таблица,36,0)-VLOOKUP($F$36,таблица,37,0)+D947</f>
        <v>0</v>
      </c>
      <c r="J952" s="362" t="str">
        <f t="shared" si="135"/>
        <v>Пустая строка (убрать галочку)</v>
      </c>
    </row>
    <row r="953" spans="1:10" hidden="1">
      <c r="A953" s="33">
        <f>IF(D953=0,0,A952+1)</f>
        <v>0</v>
      </c>
      <c r="B953" s="45" t="s">
        <v>119</v>
      </c>
      <c r="C953" s="33" t="s">
        <v>116</v>
      </c>
      <c r="D953" s="34">
        <f>VLOOKUP($F$36,таблица,41,0)</f>
        <v>0</v>
      </c>
      <c r="J953" s="362" t="str">
        <f t="shared" si="135"/>
        <v>Пустая строка (убрать галочку)</v>
      </c>
    </row>
    <row r="954" spans="1:10" hidden="1">
      <c r="A954" s="33">
        <f>IF(D954=0,0,A953+1)</f>
        <v>0</v>
      </c>
      <c r="B954" s="45" t="str">
        <f>"Всего с НДС на "&amp;'Анализ стоимости'!$AX$1&amp;" г."</f>
        <v>Всего с НДС на 2019 г.</v>
      </c>
      <c r="C954" s="33" t="s">
        <v>116</v>
      </c>
      <c r="D954" s="46">
        <f>SUM(D952:D953)</f>
        <v>0</v>
      </c>
      <c r="E954" s="56">
        <f>VLOOKUP($F$36,таблица,52,0)</f>
        <v>0</v>
      </c>
      <c r="J954" s="362" t="str">
        <f t="shared" si="135"/>
        <v>Пустая строка (убрать галочку)</v>
      </c>
    </row>
    <row r="955" spans="1:10" hidden="1">
      <c r="A955" s="33">
        <f>IF(D955=0,0,A954+1)</f>
        <v>0</v>
      </c>
      <c r="B955" s="45" t="s">
        <v>118</v>
      </c>
      <c r="C955" s="33" t="s">
        <v>116</v>
      </c>
      <c r="D955" s="46">
        <f>IF(OR(D951=0,D954=0),0,D954+D951)</f>
        <v>0</v>
      </c>
      <c r="E955" s="56">
        <f>VLOOKUP($F$36,таблица,42,0)</f>
        <v>0</v>
      </c>
      <c r="J955" s="362" t="str">
        <f t="shared" si="135"/>
        <v>Пустая строка (убрать галочку)</v>
      </c>
    </row>
    <row r="956" spans="1:10" hidden="1">
      <c r="A956" s="13"/>
      <c r="B956" s="13"/>
      <c r="C956" s="13"/>
      <c r="D956" s="14"/>
      <c r="J956" s="362" t="str">
        <f>IF($F$36=0,"Пустая строка (убрать галочку)",1)</f>
        <v>Пустая строка (убрать галочку)</v>
      </c>
    </row>
    <row r="957" spans="1:10" ht="47.25" hidden="1" customHeight="1">
      <c r="A95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957" s="382"/>
      <c r="C957" s="67"/>
      <c r="D957" s="48" t="str">
        <f>'Анализ стоимости'!$I$101</f>
        <v>Шестопал О.Н.</v>
      </c>
      <c r="G957" s="43" t="str">
        <f>A957</f>
        <v>Специалист администрации Старонижестеблиевского сельского поселения Красноармейского района</v>
      </c>
      <c r="J957" s="362" t="str">
        <f>IF($F$36=0,"Пустая строка (убрать галочку)",1)</f>
        <v>Пустая строка (убрать галочку)</v>
      </c>
    </row>
    <row r="958" spans="1:10" hidden="1">
      <c r="A958" s="49"/>
      <c r="B958" s="49"/>
      <c r="C958" s="49"/>
      <c r="D958" s="50"/>
      <c r="J958" s="362" t="str">
        <f>IF($F$36=0,"Пустая строка (убрать галочку)",1)</f>
        <v>Пустая строка (убрать галочку)</v>
      </c>
    </row>
    <row r="959" spans="1:10" hidden="1">
      <c r="A959" s="375"/>
      <c r="B959" s="375"/>
      <c r="C959" s="3"/>
      <c r="D959" s="3"/>
      <c r="J959" s="362" t="str">
        <f>IF($F$36=0,"Пустая строка (убрать галочку)",1)</f>
        <v>Пустая строка (убрать галочку)</v>
      </c>
    </row>
    <row r="960" spans="1:10" hidden="1">
      <c r="A960" s="385" t="s">
        <v>171</v>
      </c>
      <c r="B960" s="385"/>
      <c r="C960" s="385"/>
      <c r="D960" s="385"/>
      <c r="G960" s="37"/>
      <c r="H960" s="37"/>
      <c r="J960" s="362" t="str">
        <f t="shared" ref="J960:J977" si="136">IF($F$37=0,"Пустая строка (убрать галочку)",1)</f>
        <v>Пустая строка (убрать галочку)</v>
      </c>
    </row>
    <row r="961" spans="1:10" ht="47.25" hidden="1" customHeight="1">
      <c r="A961" s="376" t="str">
        <f>CONCATENATE("Наименование объекта: ",VLOOKUP($F$37,таблица,9,0))</f>
        <v xml:space="preserve">Наименование объекта: </v>
      </c>
      <c r="B961" s="376"/>
      <c r="C961" s="376"/>
      <c r="D961" s="376"/>
      <c r="I961" s="58" t="str">
        <f>A961</f>
        <v xml:space="preserve">Наименование объекта: </v>
      </c>
      <c r="J961" s="362" t="str">
        <f t="shared" si="136"/>
        <v>Пустая строка (убрать галочку)</v>
      </c>
    </row>
    <row r="962" spans="1:10" hidden="1">
      <c r="A962" s="30"/>
      <c r="B962" s="25"/>
      <c r="C962" s="25"/>
      <c r="D962" s="25"/>
      <c r="J962" s="362" t="str">
        <f t="shared" si="136"/>
        <v>Пустая строка (убрать галочку)</v>
      </c>
    </row>
    <row r="963" spans="1:10" hidden="1">
      <c r="A963" s="29" t="s">
        <v>111</v>
      </c>
      <c r="B963" s="22"/>
      <c r="C963" s="22"/>
      <c r="D963" s="22"/>
      <c r="J963" s="362" t="str">
        <f t="shared" si="136"/>
        <v>Пустая строка (убрать галочку)</v>
      </c>
    </row>
    <row r="964" spans="1:10" hidden="1">
      <c r="A964" s="383" t="s">
        <v>112</v>
      </c>
      <c r="B964" s="383"/>
      <c r="C964" s="383"/>
      <c r="D964" s="383"/>
      <c r="J964" s="362" t="str">
        <f t="shared" si="136"/>
        <v>Пустая строка (убрать галочку)</v>
      </c>
    </row>
    <row r="965" spans="1:10" ht="47.25" hidden="1">
      <c r="A965" s="68" t="s">
        <v>67</v>
      </c>
      <c r="B965" s="68" t="s">
        <v>98</v>
      </c>
      <c r="C965" s="377" t="str">
        <f>CONCATENATE("Стоимость  согласно сметной документации (руб.) в текущих ценах по состоянию на ",VLOOKUP($F$37,таблица,5,0)," г.")</f>
        <v>Стоимость  согласно сметной документации (руб.) в текущих ценах по состоянию на  г.</v>
      </c>
      <c r="D965" s="378"/>
      <c r="H965" s="44" t="str">
        <f>C965</f>
        <v>Стоимость  согласно сметной документации (руб.) в текущих ценах по состоянию на  г.</v>
      </c>
      <c r="J965" s="362" t="str">
        <f t="shared" si="136"/>
        <v>Пустая строка (убрать галочку)</v>
      </c>
    </row>
    <row r="966" spans="1:10" hidden="1">
      <c r="A966" s="33">
        <v>1</v>
      </c>
      <c r="B966" s="32" t="s">
        <v>46</v>
      </c>
      <c r="C966" s="379">
        <f>VLOOKUP($F$37,таблица,10,0)</f>
        <v>0</v>
      </c>
      <c r="D966" s="380"/>
      <c r="J966" s="362" t="str">
        <f t="shared" si="136"/>
        <v>Пустая строка (убрать галочку)</v>
      </c>
    </row>
    <row r="967" spans="1:10" hidden="1">
      <c r="A967" s="33">
        <v>2</v>
      </c>
      <c r="B967" s="32" t="s">
        <v>41</v>
      </c>
      <c r="C967" s="379">
        <f>VLOOKUP($F$37,таблица,11,0)</f>
        <v>0</v>
      </c>
      <c r="D967" s="380"/>
      <c r="J967" s="362" t="str">
        <f t="shared" si="136"/>
        <v>Пустая строка (убрать галочку)</v>
      </c>
    </row>
    <row r="968" spans="1:10" ht="31.5" hidden="1">
      <c r="A968" s="33">
        <v>3</v>
      </c>
      <c r="B968" s="32" t="s">
        <v>3</v>
      </c>
      <c r="C968" s="379">
        <f>VLOOKUP($F$37,таблица,12,0)</f>
        <v>0</v>
      </c>
      <c r="D968" s="380"/>
      <c r="J968" s="362" t="str">
        <f t="shared" si="136"/>
        <v>Пустая строка (убрать галочку)</v>
      </c>
    </row>
    <row r="969" spans="1:10" hidden="1">
      <c r="A969" s="33">
        <v>4</v>
      </c>
      <c r="B969" s="32" t="s">
        <v>42</v>
      </c>
      <c r="C969" s="379">
        <f>VLOOKUP($F$37,таблица,13,0)</f>
        <v>0</v>
      </c>
      <c r="D969" s="380"/>
      <c r="J969" s="362" t="str">
        <f t="shared" si="136"/>
        <v>Пустая строка (убрать галочку)</v>
      </c>
    </row>
    <row r="970" spans="1:10" hidden="1">
      <c r="A970" s="33">
        <v>5</v>
      </c>
      <c r="B970" s="32" t="s">
        <v>5</v>
      </c>
      <c r="C970" s="379">
        <f>VLOOKUP($F$37,таблица,14,0)</f>
        <v>0</v>
      </c>
      <c r="D970" s="380"/>
      <c r="J970" s="362" t="str">
        <f t="shared" si="136"/>
        <v>Пустая строка (убрать галочку)</v>
      </c>
    </row>
    <row r="971" spans="1:10" hidden="1">
      <c r="A971" s="33">
        <v>6</v>
      </c>
      <c r="B971" s="32" t="s">
        <v>12</v>
      </c>
      <c r="C971" s="379">
        <f>VLOOKUP($F$37,таблица,18,0)</f>
        <v>0</v>
      </c>
      <c r="D971" s="380"/>
      <c r="J971" s="362" t="str">
        <f t="shared" si="136"/>
        <v>Пустая строка (убрать галочку)</v>
      </c>
    </row>
    <row r="972" spans="1:10" hidden="1">
      <c r="A972" s="33">
        <v>7</v>
      </c>
      <c r="B972" s="32" t="s">
        <v>88</v>
      </c>
      <c r="C972" s="379">
        <f>VLOOKUP($F$37,таблица,19,0)+VLOOKUP($F$37,таблица,21,0)+VLOOKUP($F$37,таблица,22,0)+VLOOKUP($F$37,таблица,23,0)+VLOOKUP($F$37,таблица,24,0)+VLOOKUP($F$37,таблица,25,0)+VLOOKUP($F$37,таблица,26,0)</f>
        <v>0</v>
      </c>
      <c r="D972" s="380"/>
      <c r="J972" s="362" t="str">
        <f t="shared" si="136"/>
        <v>Пустая строка (убрать галочку)</v>
      </c>
    </row>
    <row r="973" spans="1:10" hidden="1">
      <c r="A973" s="33">
        <v>8</v>
      </c>
      <c r="B973" s="32" t="s">
        <v>62</v>
      </c>
      <c r="C973" s="379">
        <f>VLOOKUP($F$37,таблица,31,0)</f>
        <v>0</v>
      </c>
      <c r="D973" s="380"/>
      <c r="J973" s="362" t="str">
        <f t="shared" si="136"/>
        <v>Пустая строка (убрать галочку)</v>
      </c>
    </row>
    <row r="974" spans="1:10" hidden="1">
      <c r="A974" s="33">
        <v>9</v>
      </c>
      <c r="B974" s="32" t="s">
        <v>127</v>
      </c>
      <c r="C974" s="379">
        <f>SUM(C966:D973)</f>
        <v>0</v>
      </c>
      <c r="D974" s="380"/>
      <c r="J974" s="362" t="str">
        <f t="shared" si="136"/>
        <v>Пустая строка (убрать галочку)</v>
      </c>
    </row>
    <row r="975" spans="1:10" hidden="1">
      <c r="A975" s="384" t="s">
        <v>122</v>
      </c>
      <c r="B975" s="384"/>
      <c r="C975" s="384"/>
      <c r="D975" s="384"/>
      <c r="J975" s="362" t="str">
        <f t="shared" si="136"/>
        <v>Пустая строка (убрать галочку)</v>
      </c>
    </row>
    <row r="976" spans="1:10" ht="31.5" hidden="1">
      <c r="A976" s="35" t="s">
        <v>67</v>
      </c>
      <c r="B976" s="68" t="s">
        <v>21</v>
      </c>
      <c r="C976" s="68" t="s">
        <v>114</v>
      </c>
      <c r="D976" s="68" t="s">
        <v>99</v>
      </c>
      <c r="J976" s="362" t="str">
        <f t="shared" si="136"/>
        <v>Пустая строка (убрать галочку)</v>
      </c>
    </row>
    <row r="977" spans="1:10" hidden="1">
      <c r="A977" s="33">
        <v>10</v>
      </c>
      <c r="B977" s="33" t="e">
        <f>VLOOKUP((VLOOKUP($F$37,таблица,8,0)),рем_содер,2,0)</f>
        <v>#N/A</v>
      </c>
      <c r="C977" s="33"/>
      <c r="D977" s="32"/>
      <c r="J977" s="362" t="str">
        <f t="shared" si="136"/>
        <v>Пустая строка (убрать галочку)</v>
      </c>
    </row>
    <row r="978" spans="1:10" hidden="1">
      <c r="A978" s="33">
        <f>IF(D978=0,0,A977+1)</f>
        <v>0</v>
      </c>
      <c r="B978" s="32" t="e">
        <f>CONCATENATE('Анализ стоимости'!$AW$1," г (",CHOOSE(VLOOKUP(F$37,таблица,43,0),"Январь","Февраль","Март","Апрель","Май","Июнь","Июль","Август","Сентябрь","Октябрь","Ноябрь","Декабрь")," - ",CHOOSE(VLOOKUP(F$37,таблица,44,0),"Январь","Февраль","Март","Апрель","Май","Июнь","Июль","Август","Сентябрь","Октябрь","Ноябрь","Декабрь"),")")</f>
        <v>#VALUE!</v>
      </c>
      <c r="C978" s="33" t="s">
        <v>115</v>
      </c>
      <c r="D978" s="55">
        <f>IF(D980=0,0,VLOOKUP($F$37,таблица,49,0)*100+100)</f>
        <v>0</v>
      </c>
      <c r="J978" s="362" t="str">
        <f>IF(D978=0,"Пустая строка (убрать галочку)",1)</f>
        <v>Пустая строка (убрать галочку)</v>
      </c>
    </row>
    <row r="979" spans="1:10" hidden="1">
      <c r="A979" s="33">
        <f>IF(D979=0,0,IF(D978=0,A977+1,A978+1))</f>
        <v>0</v>
      </c>
      <c r="B979" s="32" t="e">
        <f>CONCATENATE('Анализ стоимости'!$AX$1," г (",CHOOSE(VLOOKUP(F$37,таблица,45,0),"Январь","Февраль","Март","Апрель","Май","Июнь","Июль","Август","Сентябрь","Октябрь","Ноябрь","Декабрь")," - ",CHOOSE(VLOOKUP(F$37,таблица,46,0),"Январь","Февраль","Март","Апрель","Май","Июнь","Июль","Август","Сентябрь","Октябрь","Ноябрь","Декабрь"),")")</f>
        <v>#VALUE!</v>
      </c>
      <c r="C979" s="33" t="s">
        <v>115</v>
      </c>
      <c r="D979" s="55">
        <f>IF(D981=0,0,VLOOKUP($F$37,таблица,50,0)*100+100)</f>
        <v>0</v>
      </c>
      <c r="J979" s="362" t="str">
        <f>IF(D979=0,"Пустая строка (убрать галочку)",1)</f>
        <v>Пустая строка (убрать галочку)</v>
      </c>
    </row>
    <row r="980" spans="1:10" hidden="1">
      <c r="A980" s="33">
        <f>IF(D980=0,0,IF(D979=0,A978+1,A979+1))</f>
        <v>0</v>
      </c>
      <c r="B980" s="32" t="str">
        <f>"Рост стоимости "&amp;'Анализ стоимости'!$AW$1&amp;" г."</f>
        <v>Рост стоимости 2018 г.</v>
      </c>
      <c r="C980" s="33" t="s">
        <v>116</v>
      </c>
      <c r="D980" s="34">
        <f>VLOOKUP($F$37,таблица,38,0)</f>
        <v>0</v>
      </c>
      <c r="J980" s="362" t="str">
        <f>IF(D980=0,"Пустая строка (убрать галочку)",1)</f>
        <v>Пустая строка (убрать галочку)</v>
      </c>
    </row>
    <row r="981" spans="1:10" hidden="1">
      <c r="A981" s="33">
        <f>IF(D981=0,0,IF(D980=0,A979+1,A980+1))</f>
        <v>0</v>
      </c>
      <c r="B981" s="32" t="str">
        <f>"Рост стоимости "&amp;'Анализ стоимости'!$AX$1&amp;" г."</f>
        <v>Рост стоимости 2019 г.</v>
      </c>
      <c r="C981" s="33" t="s">
        <v>116</v>
      </c>
      <c r="D981" s="34">
        <f>VLOOKUP($F$37,таблица,40,0)</f>
        <v>0</v>
      </c>
      <c r="J981" s="362" t="str">
        <f>IF(D981=0,"Пустая строка (убрать галочку)",1)</f>
        <v>Пустая строка (убрать галочку)</v>
      </c>
    </row>
    <row r="982" spans="1:10" hidden="1">
      <c r="A982" s="384" t="s">
        <v>117</v>
      </c>
      <c r="B982" s="384"/>
      <c r="C982" s="384"/>
      <c r="D982" s="384"/>
      <c r="J982" s="362" t="str">
        <f>IF($F$37=0,"Пустая строка (убрать галочку)",1)</f>
        <v>Пустая строка (убрать галочку)</v>
      </c>
    </row>
    <row r="983" spans="1:10" ht="31.5" hidden="1">
      <c r="A983" s="33">
        <f>IF(D983=0,0,IF(D981=0,IF(D980=0,A977+1,A980+1),A981+1))</f>
        <v>0</v>
      </c>
      <c r="B98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983" s="33" t="s">
        <v>116</v>
      </c>
      <c r="D983" s="34">
        <f>SUM(VLOOKUP($F$37,таблица,37,0),D980)</f>
        <v>0</v>
      </c>
      <c r="E983" s="7"/>
      <c r="J983" s="362" t="str">
        <f t="shared" ref="J983:J989" si="137">IF(D983=0,"Пустая строка (убрать галочку)",1)</f>
        <v>Пустая строка (убрать галочку)</v>
      </c>
    </row>
    <row r="984" spans="1:10" hidden="1">
      <c r="A984" s="33">
        <f>IF(D984=0,0,A983+1)</f>
        <v>0</v>
      </c>
      <c r="B984" s="45" t="s">
        <v>119</v>
      </c>
      <c r="C984" s="33" t="s">
        <v>116</v>
      </c>
      <c r="D984" s="34">
        <f>VLOOKUP($F$37,таблица,39,0)</f>
        <v>0</v>
      </c>
      <c r="E984" s="7"/>
      <c r="J984" s="362" t="str">
        <f t="shared" si="137"/>
        <v>Пустая строка (убрать галочку)</v>
      </c>
    </row>
    <row r="985" spans="1:10" hidden="1">
      <c r="A985" s="33">
        <f>IF(D985=0,0,A984+1)</f>
        <v>0</v>
      </c>
      <c r="B985" s="45" t="str">
        <f>"Всего с НДС на "&amp;'Анализ стоимости'!$AW$1&amp;" г."</f>
        <v>Всего с НДС на 2018 г.</v>
      </c>
      <c r="C985" s="33" t="s">
        <v>116</v>
      </c>
      <c r="D985" s="46">
        <f>SUM(D983:D984)</f>
        <v>0</v>
      </c>
      <c r="E985" s="56">
        <f>VLOOKUP($F$37,таблица,51,0)</f>
        <v>0</v>
      </c>
      <c r="J985" s="362" t="str">
        <f t="shared" si="137"/>
        <v>Пустая строка (убрать галочку)</v>
      </c>
    </row>
    <row r="986" spans="1:10" ht="31.5" hidden="1">
      <c r="A986" s="33">
        <f>IF(D986=0,0,IF(D985=0,IF(D981=0,A977+1,A981+1),A985+1))</f>
        <v>0</v>
      </c>
      <c r="B98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986" s="33" t="s">
        <v>116</v>
      </c>
      <c r="D986" s="34">
        <f>VLOOKUP($F$37,таблица,36,0)-VLOOKUP($F$37,таблица,37,0)+D981</f>
        <v>0</v>
      </c>
      <c r="J986" s="362" t="str">
        <f t="shared" si="137"/>
        <v>Пустая строка (убрать галочку)</v>
      </c>
    </row>
    <row r="987" spans="1:10" hidden="1">
      <c r="A987" s="33">
        <f>IF(D987=0,0,A986+1)</f>
        <v>0</v>
      </c>
      <c r="B987" s="45" t="s">
        <v>119</v>
      </c>
      <c r="C987" s="33" t="s">
        <v>116</v>
      </c>
      <c r="D987" s="34">
        <f>VLOOKUP($F$37,таблица,41,0)</f>
        <v>0</v>
      </c>
      <c r="J987" s="362" t="str">
        <f t="shared" si="137"/>
        <v>Пустая строка (убрать галочку)</v>
      </c>
    </row>
    <row r="988" spans="1:10" hidden="1">
      <c r="A988" s="33">
        <f>IF(D988=0,0,A987+1)</f>
        <v>0</v>
      </c>
      <c r="B988" s="45" t="str">
        <f>"Всего с НДС на "&amp;'Анализ стоимости'!$AX$1&amp;" г."</f>
        <v>Всего с НДС на 2019 г.</v>
      </c>
      <c r="C988" s="33" t="s">
        <v>116</v>
      </c>
      <c r="D988" s="46">
        <f>SUM(D986:D987)</f>
        <v>0</v>
      </c>
      <c r="E988" s="56">
        <f>VLOOKUP($F$37,таблица,52,0)</f>
        <v>0</v>
      </c>
      <c r="J988" s="362" t="str">
        <f t="shared" si="137"/>
        <v>Пустая строка (убрать галочку)</v>
      </c>
    </row>
    <row r="989" spans="1:10" hidden="1">
      <c r="A989" s="33">
        <f>IF(D989=0,0,A988+1)</f>
        <v>0</v>
      </c>
      <c r="B989" s="45" t="s">
        <v>118</v>
      </c>
      <c r="C989" s="33" t="s">
        <v>116</v>
      </c>
      <c r="D989" s="46">
        <f>IF(OR(D985=0,D988=0),0,D988+D985)</f>
        <v>0</v>
      </c>
      <c r="E989" s="56">
        <f>VLOOKUP($F$37,таблица,42,0)</f>
        <v>0</v>
      </c>
      <c r="J989" s="362" t="str">
        <f t="shared" si="137"/>
        <v>Пустая строка (убрать галочку)</v>
      </c>
    </row>
    <row r="990" spans="1:10" hidden="1">
      <c r="A990" s="13"/>
      <c r="B990" s="13"/>
      <c r="C990" s="13"/>
      <c r="D990" s="14"/>
      <c r="J990" s="362" t="str">
        <f>IF($F$37=0,"Пустая строка (убрать галочку)",1)</f>
        <v>Пустая строка (убрать галочку)</v>
      </c>
    </row>
    <row r="991" spans="1:10" ht="47.25" hidden="1" customHeight="1">
      <c r="A99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991" s="382"/>
      <c r="C991" s="67"/>
      <c r="D991" s="48" t="str">
        <f>'Анализ стоимости'!$I$101</f>
        <v>Шестопал О.Н.</v>
      </c>
      <c r="G991" s="43" t="str">
        <f>A991</f>
        <v>Специалист администрации Старонижестеблиевского сельского поселения Красноармейского района</v>
      </c>
      <c r="J991" s="362" t="str">
        <f>IF($F$37=0,"Пустая строка (убрать галочку)",1)</f>
        <v>Пустая строка (убрать галочку)</v>
      </c>
    </row>
    <row r="992" spans="1:10" hidden="1">
      <c r="A992" s="49"/>
      <c r="B992" s="49"/>
      <c r="C992" s="49"/>
      <c r="D992" s="50"/>
      <c r="J992" s="362" t="str">
        <f>IF($F$37=0,"Пустая строка (убрать галочку)",1)</f>
        <v>Пустая строка (убрать галочку)</v>
      </c>
    </row>
    <row r="993" spans="1:10" hidden="1">
      <c r="A993" s="375"/>
      <c r="B993" s="375"/>
      <c r="C993" s="3"/>
      <c r="D993" s="3"/>
      <c r="J993" s="362" t="str">
        <f>IF($F$37=0,"Пустая строка (убрать галочку)",1)</f>
        <v>Пустая строка (убрать галочку)</v>
      </c>
    </row>
    <row r="994" spans="1:10" hidden="1">
      <c r="A994" s="385" t="s">
        <v>172</v>
      </c>
      <c r="B994" s="385"/>
      <c r="C994" s="385"/>
      <c r="D994" s="385"/>
      <c r="G994" s="37"/>
      <c r="H994" s="37"/>
      <c r="J994" s="362" t="str">
        <f t="shared" ref="J994:J1011" si="138">IF($F$38=0,"Пустая строка (убрать галочку)",1)</f>
        <v>Пустая строка (убрать галочку)</v>
      </c>
    </row>
    <row r="995" spans="1:10" ht="47.25" hidden="1" customHeight="1">
      <c r="A995" s="376" t="str">
        <f>CONCATENATE("Наименование объекта: ",VLOOKUP($F$38,таблица,9,0))</f>
        <v xml:space="preserve">Наименование объекта: </v>
      </c>
      <c r="B995" s="376"/>
      <c r="C995" s="376"/>
      <c r="D995" s="376"/>
      <c r="I995" s="58" t="str">
        <f>A995</f>
        <v xml:space="preserve">Наименование объекта: </v>
      </c>
      <c r="J995" s="362" t="str">
        <f t="shared" si="138"/>
        <v>Пустая строка (убрать галочку)</v>
      </c>
    </row>
    <row r="996" spans="1:10" hidden="1">
      <c r="A996" s="30"/>
      <c r="B996" s="25"/>
      <c r="C996" s="25"/>
      <c r="D996" s="25"/>
      <c r="J996" s="362" t="str">
        <f t="shared" si="138"/>
        <v>Пустая строка (убрать галочку)</v>
      </c>
    </row>
    <row r="997" spans="1:10" hidden="1">
      <c r="A997" s="29" t="s">
        <v>111</v>
      </c>
      <c r="B997" s="22"/>
      <c r="C997" s="22"/>
      <c r="D997" s="22"/>
      <c r="J997" s="362" t="str">
        <f t="shared" si="138"/>
        <v>Пустая строка (убрать галочку)</v>
      </c>
    </row>
    <row r="998" spans="1:10" hidden="1">
      <c r="A998" s="383" t="s">
        <v>112</v>
      </c>
      <c r="B998" s="383"/>
      <c r="C998" s="383"/>
      <c r="D998" s="383"/>
      <c r="J998" s="362" t="str">
        <f t="shared" si="138"/>
        <v>Пустая строка (убрать галочку)</v>
      </c>
    </row>
    <row r="999" spans="1:10" ht="47.25" hidden="1">
      <c r="A999" s="68" t="s">
        <v>67</v>
      </c>
      <c r="B999" s="68" t="s">
        <v>98</v>
      </c>
      <c r="C999" s="377" t="str">
        <f>CONCATENATE("Стоимость  согласно сметной документации (руб.) в текущих ценах по состоянию на ",VLOOKUP($F$38,таблица,5,0)," г.")</f>
        <v>Стоимость  согласно сметной документации (руб.) в текущих ценах по состоянию на  г.</v>
      </c>
      <c r="D999" s="378"/>
      <c r="H999" s="44" t="str">
        <f>C999</f>
        <v>Стоимость  согласно сметной документации (руб.) в текущих ценах по состоянию на  г.</v>
      </c>
      <c r="J999" s="362" t="str">
        <f t="shared" si="138"/>
        <v>Пустая строка (убрать галочку)</v>
      </c>
    </row>
    <row r="1000" spans="1:10" hidden="1">
      <c r="A1000" s="33">
        <v>1</v>
      </c>
      <c r="B1000" s="32" t="s">
        <v>46</v>
      </c>
      <c r="C1000" s="379">
        <f>VLOOKUP($F$38,таблица,10,0)</f>
        <v>0</v>
      </c>
      <c r="D1000" s="380"/>
      <c r="J1000" s="362" t="str">
        <f t="shared" si="138"/>
        <v>Пустая строка (убрать галочку)</v>
      </c>
    </row>
    <row r="1001" spans="1:10" hidden="1">
      <c r="A1001" s="33">
        <v>2</v>
      </c>
      <c r="B1001" s="32" t="s">
        <v>41</v>
      </c>
      <c r="C1001" s="379">
        <f>VLOOKUP($F$38,таблица,11,0)</f>
        <v>0</v>
      </c>
      <c r="D1001" s="380"/>
      <c r="J1001" s="362" t="str">
        <f t="shared" si="138"/>
        <v>Пустая строка (убрать галочку)</v>
      </c>
    </row>
    <row r="1002" spans="1:10" ht="31.5" hidden="1">
      <c r="A1002" s="33">
        <v>3</v>
      </c>
      <c r="B1002" s="32" t="s">
        <v>3</v>
      </c>
      <c r="C1002" s="379">
        <f>VLOOKUP($F$38,таблица,12,0)</f>
        <v>0</v>
      </c>
      <c r="D1002" s="380"/>
      <c r="J1002" s="362" t="str">
        <f t="shared" si="138"/>
        <v>Пустая строка (убрать галочку)</v>
      </c>
    </row>
    <row r="1003" spans="1:10" hidden="1">
      <c r="A1003" s="33">
        <v>4</v>
      </c>
      <c r="B1003" s="32" t="s">
        <v>42</v>
      </c>
      <c r="C1003" s="379">
        <f>VLOOKUP($F$38,таблица,13,0)</f>
        <v>0</v>
      </c>
      <c r="D1003" s="380"/>
      <c r="J1003" s="362" t="str">
        <f t="shared" si="138"/>
        <v>Пустая строка (убрать галочку)</v>
      </c>
    </row>
    <row r="1004" spans="1:10" hidden="1">
      <c r="A1004" s="33">
        <v>5</v>
      </c>
      <c r="B1004" s="32" t="s">
        <v>5</v>
      </c>
      <c r="C1004" s="379">
        <f>VLOOKUP($F$38,таблица,14,0)</f>
        <v>0</v>
      </c>
      <c r="D1004" s="380"/>
      <c r="J1004" s="362" t="str">
        <f t="shared" si="138"/>
        <v>Пустая строка (убрать галочку)</v>
      </c>
    </row>
    <row r="1005" spans="1:10" hidden="1">
      <c r="A1005" s="33">
        <v>6</v>
      </c>
      <c r="B1005" s="32" t="s">
        <v>12</v>
      </c>
      <c r="C1005" s="379">
        <f>VLOOKUP($F$38,таблица,18,0)</f>
        <v>0</v>
      </c>
      <c r="D1005" s="380"/>
      <c r="J1005" s="362" t="str">
        <f t="shared" si="138"/>
        <v>Пустая строка (убрать галочку)</v>
      </c>
    </row>
    <row r="1006" spans="1:10" hidden="1">
      <c r="A1006" s="33">
        <v>7</v>
      </c>
      <c r="B1006" s="32" t="s">
        <v>88</v>
      </c>
      <c r="C1006" s="379">
        <f>VLOOKUP($F$38,таблица,19,0)+VLOOKUP($F$38,таблица,21,0)+VLOOKUP($F$38,таблица,22,0)+VLOOKUP($F$38,таблица,23,0)+VLOOKUP($F$38,таблица,24,0)+VLOOKUP($F$38,таблица,25,0)+VLOOKUP($F$38,таблица,26,0)</f>
        <v>0</v>
      </c>
      <c r="D1006" s="380"/>
      <c r="J1006" s="362" t="str">
        <f t="shared" si="138"/>
        <v>Пустая строка (убрать галочку)</v>
      </c>
    </row>
    <row r="1007" spans="1:10" hidden="1">
      <c r="A1007" s="33">
        <v>8</v>
      </c>
      <c r="B1007" s="32" t="s">
        <v>62</v>
      </c>
      <c r="C1007" s="379">
        <f>VLOOKUP($F$38,таблица,31,0)</f>
        <v>0</v>
      </c>
      <c r="D1007" s="380"/>
      <c r="J1007" s="362" t="str">
        <f t="shared" si="138"/>
        <v>Пустая строка (убрать галочку)</v>
      </c>
    </row>
    <row r="1008" spans="1:10" hidden="1">
      <c r="A1008" s="33">
        <v>9</v>
      </c>
      <c r="B1008" s="32" t="s">
        <v>127</v>
      </c>
      <c r="C1008" s="379">
        <f>SUM(C1000:D1007)</f>
        <v>0</v>
      </c>
      <c r="D1008" s="380"/>
      <c r="J1008" s="362" t="str">
        <f t="shared" si="138"/>
        <v>Пустая строка (убрать галочку)</v>
      </c>
    </row>
    <row r="1009" spans="1:10" hidden="1">
      <c r="A1009" s="384" t="s">
        <v>122</v>
      </c>
      <c r="B1009" s="384"/>
      <c r="C1009" s="384"/>
      <c r="D1009" s="384"/>
      <c r="J1009" s="362" t="str">
        <f t="shared" si="138"/>
        <v>Пустая строка (убрать галочку)</v>
      </c>
    </row>
    <row r="1010" spans="1:10" ht="31.5" hidden="1">
      <c r="A1010" s="35" t="s">
        <v>67</v>
      </c>
      <c r="B1010" s="68" t="s">
        <v>21</v>
      </c>
      <c r="C1010" s="68" t="s">
        <v>114</v>
      </c>
      <c r="D1010" s="68" t="s">
        <v>99</v>
      </c>
      <c r="J1010" s="362" t="str">
        <f t="shared" si="138"/>
        <v>Пустая строка (убрать галочку)</v>
      </c>
    </row>
    <row r="1011" spans="1:10" hidden="1">
      <c r="A1011" s="33">
        <v>10</v>
      </c>
      <c r="B1011" s="33" t="e">
        <f>VLOOKUP((VLOOKUP($F$38,таблица,8,0)),рем_содер,2,0)</f>
        <v>#N/A</v>
      </c>
      <c r="C1011" s="33"/>
      <c r="D1011" s="32"/>
      <c r="J1011" s="362" t="str">
        <f t="shared" si="138"/>
        <v>Пустая строка (убрать галочку)</v>
      </c>
    </row>
    <row r="1012" spans="1:10" hidden="1">
      <c r="A1012" s="33">
        <f>IF(D1012=0,0,A1011+1)</f>
        <v>0</v>
      </c>
      <c r="B1012" s="32" t="e">
        <f>CONCATENATE('Анализ стоимости'!$AW$1," г (",CHOOSE(VLOOKUP(F$38,таблица,43,0),"Январь","Февраль","Март","Апрель","Май","Июнь","Июль","Август","Сентябрь","Октябрь","Ноябрь","Декабрь")," - ",CHOOSE(VLOOKUP(F$38,таблица,44,0),"Январь","Февраль","Март","Апрель","Май","Июнь","Июль","Август","Сентябрь","Октябрь","Ноябрь","Декабрь"),")")</f>
        <v>#VALUE!</v>
      </c>
      <c r="C1012" s="33" t="s">
        <v>115</v>
      </c>
      <c r="D1012" s="55">
        <f>IF(D1014=0,0,VLOOKUP($F$38,таблица,49,0)*100+100)</f>
        <v>0</v>
      </c>
      <c r="J1012" s="362" t="str">
        <f>IF(D1012=0,"Пустая строка (убрать галочку)",1)</f>
        <v>Пустая строка (убрать галочку)</v>
      </c>
    </row>
    <row r="1013" spans="1:10" hidden="1">
      <c r="A1013" s="33">
        <f>IF(D1013=0,0,IF(D1012=0,A1011+1,A1012+1))</f>
        <v>0</v>
      </c>
      <c r="B1013" s="32" t="e">
        <f>CONCATENATE('Анализ стоимости'!$AX$1," г (",CHOOSE(VLOOKUP(F$38,таблица,45,0),"Январь","Февраль","Март","Апрель","Май","Июнь","Июль","Август","Сентябрь","Октябрь","Ноябрь","Декабрь")," - ",CHOOSE(VLOOKUP(F$38,таблица,46,0),"Январь","Февраль","Март","Апрель","Май","Июнь","Июль","Август","Сентябрь","Октябрь","Ноябрь","Декабрь"),")")</f>
        <v>#VALUE!</v>
      </c>
      <c r="C1013" s="33" t="s">
        <v>115</v>
      </c>
      <c r="D1013" s="55">
        <f>IF(D1015=0,0,VLOOKUP($F$38,таблица,50,0)*100+100)</f>
        <v>0</v>
      </c>
      <c r="J1013" s="362" t="str">
        <f>IF(D1013=0,"Пустая строка (убрать галочку)",1)</f>
        <v>Пустая строка (убрать галочку)</v>
      </c>
    </row>
    <row r="1014" spans="1:10" hidden="1">
      <c r="A1014" s="33">
        <f>IF(D1014=0,0,IF(D1013=0,A1012+1,A1013+1))</f>
        <v>0</v>
      </c>
      <c r="B1014" s="32" t="str">
        <f>"Рост стоимости "&amp;'Анализ стоимости'!$AW$1&amp;" г."</f>
        <v>Рост стоимости 2018 г.</v>
      </c>
      <c r="C1014" s="33" t="s">
        <v>116</v>
      </c>
      <c r="D1014" s="34">
        <f>VLOOKUP($F$38,таблица,38,0)</f>
        <v>0</v>
      </c>
      <c r="J1014" s="362" t="str">
        <f>IF(D1014=0,"Пустая строка (убрать галочку)",1)</f>
        <v>Пустая строка (убрать галочку)</v>
      </c>
    </row>
    <row r="1015" spans="1:10" hidden="1">
      <c r="A1015" s="33">
        <f>IF(D1015=0,0,IF(D1014=0,A1013+1,A1014+1))</f>
        <v>0</v>
      </c>
      <c r="B1015" s="32" t="str">
        <f>"Рост стоимости "&amp;'Анализ стоимости'!$AX$1&amp;" г."</f>
        <v>Рост стоимости 2019 г.</v>
      </c>
      <c r="C1015" s="33" t="s">
        <v>116</v>
      </c>
      <c r="D1015" s="34">
        <f>VLOOKUP($F$38,таблица,40,0)</f>
        <v>0</v>
      </c>
      <c r="J1015" s="362" t="str">
        <f>IF(D1015=0,"Пустая строка (убрать галочку)",1)</f>
        <v>Пустая строка (убрать галочку)</v>
      </c>
    </row>
    <row r="1016" spans="1:10" hidden="1">
      <c r="A1016" s="384" t="s">
        <v>117</v>
      </c>
      <c r="B1016" s="384"/>
      <c r="C1016" s="384"/>
      <c r="D1016" s="384"/>
      <c r="J1016" s="362" t="str">
        <f>IF($F$38=0,"Пустая строка (убрать галочку)",1)</f>
        <v>Пустая строка (убрать галочку)</v>
      </c>
    </row>
    <row r="1017" spans="1:10" ht="31.5" hidden="1">
      <c r="A1017" s="33">
        <f>IF(D1017=0,0,IF(D1015=0,IF(D1014=0,A1011+1,A1014+1),A1015+1))</f>
        <v>0</v>
      </c>
      <c r="B101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017" s="33" t="s">
        <v>116</v>
      </c>
      <c r="D1017" s="34">
        <f>SUM(VLOOKUP($F$38,таблица,37,0),D1014)</f>
        <v>0</v>
      </c>
      <c r="E1017" s="7"/>
      <c r="J1017" s="362" t="str">
        <f t="shared" ref="J1017:J1023" si="139">IF(D1017=0,"Пустая строка (убрать галочку)",1)</f>
        <v>Пустая строка (убрать галочку)</v>
      </c>
    </row>
    <row r="1018" spans="1:10" hidden="1">
      <c r="A1018" s="33">
        <f>IF(D1018=0,0,A1017+1)</f>
        <v>0</v>
      </c>
      <c r="B1018" s="45" t="s">
        <v>119</v>
      </c>
      <c r="C1018" s="33" t="s">
        <v>116</v>
      </c>
      <c r="D1018" s="34">
        <f>VLOOKUP($F$38,таблица,39,0)</f>
        <v>0</v>
      </c>
      <c r="E1018" s="7"/>
      <c r="J1018" s="362" t="str">
        <f t="shared" si="139"/>
        <v>Пустая строка (убрать галочку)</v>
      </c>
    </row>
    <row r="1019" spans="1:10" hidden="1">
      <c r="A1019" s="33">
        <f>IF(D1019=0,0,A1018+1)</f>
        <v>0</v>
      </c>
      <c r="B1019" s="45" t="str">
        <f>"Всего с НДС на "&amp;'Анализ стоимости'!$AW$1&amp;" г."</f>
        <v>Всего с НДС на 2018 г.</v>
      </c>
      <c r="C1019" s="33" t="s">
        <v>116</v>
      </c>
      <c r="D1019" s="46">
        <f>SUM(D1017:D1018)</f>
        <v>0</v>
      </c>
      <c r="E1019" s="56">
        <f>VLOOKUP($F$38,таблица,51,0)</f>
        <v>0</v>
      </c>
      <c r="J1019" s="362" t="str">
        <f t="shared" si="139"/>
        <v>Пустая строка (убрать галочку)</v>
      </c>
    </row>
    <row r="1020" spans="1:10" ht="31.5" hidden="1">
      <c r="A1020" s="33">
        <f>IF(D1020=0,0,IF(D1019=0,IF(D1015=0,A1011+1,A1015+1),A1019+1))</f>
        <v>0</v>
      </c>
      <c r="B102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020" s="33" t="s">
        <v>116</v>
      </c>
      <c r="D1020" s="34">
        <f>VLOOKUP($F$38,таблица,36,0)-VLOOKUP($F$38,таблица,37,0)+D1015</f>
        <v>0</v>
      </c>
      <c r="J1020" s="362" t="str">
        <f t="shared" si="139"/>
        <v>Пустая строка (убрать галочку)</v>
      </c>
    </row>
    <row r="1021" spans="1:10" hidden="1">
      <c r="A1021" s="33">
        <f>IF(D1021=0,0,A1020+1)</f>
        <v>0</v>
      </c>
      <c r="B1021" s="45" t="s">
        <v>119</v>
      </c>
      <c r="C1021" s="33" t="s">
        <v>116</v>
      </c>
      <c r="D1021" s="34">
        <f>VLOOKUP($F$38,таблица,41,0)</f>
        <v>0</v>
      </c>
      <c r="J1021" s="362" t="str">
        <f t="shared" si="139"/>
        <v>Пустая строка (убрать галочку)</v>
      </c>
    </row>
    <row r="1022" spans="1:10" hidden="1">
      <c r="A1022" s="33">
        <f>IF(D1022=0,0,A1021+1)</f>
        <v>0</v>
      </c>
      <c r="B1022" s="45" t="str">
        <f>"Всего с НДС на "&amp;'Анализ стоимости'!$AX$1&amp;" г."</f>
        <v>Всего с НДС на 2019 г.</v>
      </c>
      <c r="C1022" s="33" t="s">
        <v>116</v>
      </c>
      <c r="D1022" s="46">
        <f>SUM(D1020:D1021)</f>
        <v>0</v>
      </c>
      <c r="E1022" s="56">
        <f>VLOOKUP($F$38,таблица,52,0)</f>
        <v>0</v>
      </c>
      <c r="J1022" s="362" t="str">
        <f t="shared" si="139"/>
        <v>Пустая строка (убрать галочку)</v>
      </c>
    </row>
    <row r="1023" spans="1:10" hidden="1">
      <c r="A1023" s="33">
        <f>IF(D1023=0,0,A1022+1)</f>
        <v>0</v>
      </c>
      <c r="B1023" s="45" t="s">
        <v>118</v>
      </c>
      <c r="C1023" s="33" t="s">
        <v>116</v>
      </c>
      <c r="D1023" s="46">
        <f>IF(OR(D1019=0,D1022=0),0,D1022+D1019)</f>
        <v>0</v>
      </c>
      <c r="E1023" s="56">
        <f>VLOOKUP($F$38,таблица,42,0)</f>
        <v>0</v>
      </c>
      <c r="J1023" s="362" t="str">
        <f t="shared" si="139"/>
        <v>Пустая строка (убрать галочку)</v>
      </c>
    </row>
    <row r="1024" spans="1:10" hidden="1">
      <c r="A1024" s="13"/>
      <c r="B1024" s="13"/>
      <c r="C1024" s="13"/>
      <c r="D1024" s="14"/>
      <c r="J1024" s="362" t="str">
        <f>IF($F$38=0,"Пустая строка (убрать галочку)",1)</f>
        <v>Пустая строка (убрать галочку)</v>
      </c>
    </row>
    <row r="1025" spans="1:10" ht="47.25" hidden="1" customHeight="1">
      <c r="A102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025" s="382"/>
      <c r="C1025" s="67"/>
      <c r="D1025" s="48" t="str">
        <f>'Анализ стоимости'!$I$101</f>
        <v>Шестопал О.Н.</v>
      </c>
      <c r="G1025" s="43" t="str">
        <f>A1025</f>
        <v>Специалист администрации Старонижестеблиевского сельского поселения Красноармейского района</v>
      </c>
      <c r="J1025" s="362" t="str">
        <f>IF($F$38=0,"Пустая строка (убрать галочку)",1)</f>
        <v>Пустая строка (убрать галочку)</v>
      </c>
    </row>
    <row r="1026" spans="1:10" hidden="1">
      <c r="A1026" s="49"/>
      <c r="B1026" s="49"/>
      <c r="C1026" s="49"/>
      <c r="D1026" s="50"/>
      <c r="J1026" s="362" t="str">
        <f>IF($F$38=0,"Пустая строка (убрать галочку)",1)</f>
        <v>Пустая строка (убрать галочку)</v>
      </c>
    </row>
    <row r="1027" spans="1:10" hidden="1">
      <c r="A1027" s="375"/>
      <c r="B1027" s="375"/>
      <c r="C1027" s="3"/>
      <c r="D1027" s="3"/>
      <c r="J1027" s="362" t="str">
        <f>IF($F$38=0,"Пустая строка (убрать галочку)",1)</f>
        <v>Пустая строка (убрать галочку)</v>
      </c>
    </row>
    <row r="1028" spans="1:10" hidden="1">
      <c r="A1028" s="385" t="s">
        <v>173</v>
      </c>
      <c r="B1028" s="385"/>
      <c r="C1028" s="385"/>
      <c r="D1028" s="385"/>
      <c r="G1028" s="37"/>
      <c r="H1028" s="37"/>
      <c r="J1028" s="362" t="str">
        <f t="shared" ref="J1028:J1045" si="140">IF($F$39=0,"Пустая строка (убрать галочку)",1)</f>
        <v>Пустая строка (убрать галочку)</v>
      </c>
    </row>
    <row r="1029" spans="1:10" ht="47.25" hidden="1" customHeight="1">
      <c r="A1029" s="376" t="str">
        <f>CONCATENATE("Наименование объекта: ",VLOOKUP($F$39,таблица,9,0))</f>
        <v xml:space="preserve">Наименование объекта: </v>
      </c>
      <c r="B1029" s="376"/>
      <c r="C1029" s="376"/>
      <c r="D1029" s="376"/>
      <c r="I1029" s="58" t="str">
        <f>A1029</f>
        <v xml:space="preserve">Наименование объекта: </v>
      </c>
      <c r="J1029" s="362" t="str">
        <f t="shared" si="140"/>
        <v>Пустая строка (убрать галочку)</v>
      </c>
    </row>
    <row r="1030" spans="1:10" hidden="1">
      <c r="A1030" s="30"/>
      <c r="B1030" s="25"/>
      <c r="C1030" s="25"/>
      <c r="D1030" s="25"/>
      <c r="J1030" s="362" t="str">
        <f t="shared" si="140"/>
        <v>Пустая строка (убрать галочку)</v>
      </c>
    </row>
    <row r="1031" spans="1:10" hidden="1">
      <c r="A1031" s="29" t="s">
        <v>111</v>
      </c>
      <c r="B1031" s="22"/>
      <c r="C1031" s="22"/>
      <c r="D1031" s="22"/>
      <c r="J1031" s="362" t="str">
        <f t="shared" si="140"/>
        <v>Пустая строка (убрать галочку)</v>
      </c>
    </row>
    <row r="1032" spans="1:10" hidden="1">
      <c r="A1032" s="383" t="s">
        <v>112</v>
      </c>
      <c r="B1032" s="383"/>
      <c r="C1032" s="383"/>
      <c r="D1032" s="383"/>
      <c r="J1032" s="362" t="str">
        <f t="shared" si="140"/>
        <v>Пустая строка (убрать галочку)</v>
      </c>
    </row>
    <row r="1033" spans="1:10" ht="47.25" hidden="1">
      <c r="A1033" s="68" t="s">
        <v>67</v>
      </c>
      <c r="B1033" s="68" t="s">
        <v>98</v>
      </c>
      <c r="C1033" s="377" t="str">
        <f>CONCATENATE("Стоимость  согласно сметной документации (руб.) в текущих ценах по состоянию на ",VLOOKUP($F$39,таблица,5,0)," г.")</f>
        <v>Стоимость  согласно сметной документации (руб.) в текущих ценах по состоянию на  г.</v>
      </c>
      <c r="D1033" s="378"/>
      <c r="H1033" s="44" t="str">
        <f>C1033</f>
        <v>Стоимость  согласно сметной документации (руб.) в текущих ценах по состоянию на  г.</v>
      </c>
      <c r="J1033" s="362" t="str">
        <f t="shared" si="140"/>
        <v>Пустая строка (убрать галочку)</v>
      </c>
    </row>
    <row r="1034" spans="1:10" hidden="1">
      <c r="A1034" s="33">
        <v>1</v>
      </c>
      <c r="B1034" s="32" t="s">
        <v>46</v>
      </c>
      <c r="C1034" s="379">
        <f>VLOOKUP($F$39,таблица,10,0)</f>
        <v>0</v>
      </c>
      <c r="D1034" s="380"/>
      <c r="J1034" s="362" t="str">
        <f t="shared" si="140"/>
        <v>Пустая строка (убрать галочку)</v>
      </c>
    </row>
    <row r="1035" spans="1:10" hidden="1">
      <c r="A1035" s="33">
        <v>2</v>
      </c>
      <c r="B1035" s="32" t="s">
        <v>41</v>
      </c>
      <c r="C1035" s="379">
        <f>VLOOKUP($F$39,таблица,11,0)</f>
        <v>0</v>
      </c>
      <c r="D1035" s="380"/>
      <c r="J1035" s="362" t="str">
        <f t="shared" si="140"/>
        <v>Пустая строка (убрать галочку)</v>
      </c>
    </row>
    <row r="1036" spans="1:10" ht="31.5" hidden="1">
      <c r="A1036" s="33">
        <v>3</v>
      </c>
      <c r="B1036" s="32" t="s">
        <v>3</v>
      </c>
      <c r="C1036" s="379">
        <f>VLOOKUP($F$39,таблица,12,0)</f>
        <v>0</v>
      </c>
      <c r="D1036" s="380"/>
      <c r="J1036" s="362" t="str">
        <f t="shared" si="140"/>
        <v>Пустая строка (убрать галочку)</v>
      </c>
    </row>
    <row r="1037" spans="1:10" hidden="1">
      <c r="A1037" s="33">
        <v>4</v>
      </c>
      <c r="B1037" s="32" t="s">
        <v>42</v>
      </c>
      <c r="C1037" s="379">
        <f>VLOOKUP($F$39,таблица,13,0)</f>
        <v>0</v>
      </c>
      <c r="D1037" s="380"/>
      <c r="J1037" s="362" t="str">
        <f t="shared" si="140"/>
        <v>Пустая строка (убрать галочку)</v>
      </c>
    </row>
    <row r="1038" spans="1:10" hidden="1">
      <c r="A1038" s="33">
        <v>5</v>
      </c>
      <c r="B1038" s="32" t="s">
        <v>5</v>
      </c>
      <c r="C1038" s="379">
        <f>VLOOKUP($F$39,таблица,14,0)</f>
        <v>0</v>
      </c>
      <c r="D1038" s="380"/>
      <c r="J1038" s="362" t="str">
        <f t="shared" si="140"/>
        <v>Пустая строка (убрать галочку)</v>
      </c>
    </row>
    <row r="1039" spans="1:10" hidden="1">
      <c r="A1039" s="33">
        <v>6</v>
      </c>
      <c r="B1039" s="32" t="s">
        <v>12</v>
      </c>
      <c r="C1039" s="379">
        <f>VLOOKUP($F$39,таблица,18,0)</f>
        <v>0</v>
      </c>
      <c r="D1039" s="380"/>
      <c r="J1039" s="362" t="str">
        <f t="shared" si="140"/>
        <v>Пустая строка (убрать галочку)</v>
      </c>
    </row>
    <row r="1040" spans="1:10" hidden="1">
      <c r="A1040" s="33">
        <v>7</v>
      </c>
      <c r="B1040" s="32" t="s">
        <v>88</v>
      </c>
      <c r="C1040" s="379">
        <f>VLOOKUP($F$39,таблица,19,0)+VLOOKUP($F$39,таблица,21,0)+VLOOKUP($F$39,таблица,22,0)+VLOOKUP($F$39,таблица,23,0)+VLOOKUP($F$39,таблица,24,0)+VLOOKUP($F$39,таблица,25,0)+VLOOKUP($F$39,таблица,26,0)</f>
        <v>0</v>
      </c>
      <c r="D1040" s="380"/>
      <c r="J1040" s="362" t="str">
        <f t="shared" si="140"/>
        <v>Пустая строка (убрать галочку)</v>
      </c>
    </row>
    <row r="1041" spans="1:10" hidden="1">
      <c r="A1041" s="33">
        <v>8</v>
      </c>
      <c r="B1041" s="32" t="s">
        <v>62</v>
      </c>
      <c r="C1041" s="379">
        <f>VLOOKUP($F$39,таблица,31,0)</f>
        <v>0</v>
      </c>
      <c r="D1041" s="380"/>
      <c r="J1041" s="362" t="str">
        <f t="shared" si="140"/>
        <v>Пустая строка (убрать галочку)</v>
      </c>
    </row>
    <row r="1042" spans="1:10" hidden="1">
      <c r="A1042" s="33">
        <v>9</v>
      </c>
      <c r="B1042" s="32" t="s">
        <v>127</v>
      </c>
      <c r="C1042" s="379">
        <f>SUM(C1034:D1041)</f>
        <v>0</v>
      </c>
      <c r="D1042" s="380"/>
      <c r="J1042" s="362" t="str">
        <f t="shared" si="140"/>
        <v>Пустая строка (убрать галочку)</v>
      </c>
    </row>
    <row r="1043" spans="1:10" hidden="1">
      <c r="A1043" s="384" t="s">
        <v>122</v>
      </c>
      <c r="B1043" s="384"/>
      <c r="C1043" s="384"/>
      <c r="D1043" s="384"/>
      <c r="J1043" s="362" t="str">
        <f t="shared" si="140"/>
        <v>Пустая строка (убрать галочку)</v>
      </c>
    </row>
    <row r="1044" spans="1:10" ht="31.5" hidden="1">
      <c r="A1044" s="35" t="s">
        <v>67</v>
      </c>
      <c r="B1044" s="68" t="s">
        <v>21</v>
      </c>
      <c r="C1044" s="68" t="s">
        <v>114</v>
      </c>
      <c r="D1044" s="68" t="s">
        <v>99</v>
      </c>
      <c r="J1044" s="362" t="str">
        <f t="shared" si="140"/>
        <v>Пустая строка (убрать галочку)</v>
      </c>
    </row>
    <row r="1045" spans="1:10" hidden="1">
      <c r="A1045" s="33">
        <v>10</v>
      </c>
      <c r="B1045" s="33" t="e">
        <f>VLOOKUP((VLOOKUP($F$39,таблица,8,0)),рем_содер,2,0)</f>
        <v>#N/A</v>
      </c>
      <c r="C1045" s="33"/>
      <c r="D1045" s="32"/>
      <c r="J1045" s="362" t="str">
        <f t="shared" si="140"/>
        <v>Пустая строка (убрать галочку)</v>
      </c>
    </row>
    <row r="1046" spans="1:10" hidden="1">
      <c r="A1046" s="33">
        <f>IF(D1046=0,0,A1045+1)</f>
        <v>0</v>
      </c>
      <c r="B1046" s="32" t="e">
        <f>CONCATENATE('Анализ стоимости'!$AW$1," г (",CHOOSE(VLOOKUP(F$39,таблица,43,0),"Январь","Февраль","Март","Апрель","Май","Июнь","Июль","Август","Сентябрь","Октябрь","Ноябрь","Декабрь")," - ",CHOOSE(VLOOKUP(F$39,таблица,44,0),"Январь","Февраль","Март","Апрель","Май","Июнь","Июль","Август","Сентябрь","Октябрь","Ноябрь","Декабрь"),")")</f>
        <v>#VALUE!</v>
      </c>
      <c r="C1046" s="33" t="s">
        <v>115</v>
      </c>
      <c r="D1046" s="55">
        <f>IF(D1048=0,0,VLOOKUP($F$39,таблица,49,0)*100+100)</f>
        <v>0</v>
      </c>
      <c r="J1046" s="362" t="str">
        <f>IF(D1046=0,"Пустая строка (убрать галочку)",1)</f>
        <v>Пустая строка (убрать галочку)</v>
      </c>
    </row>
    <row r="1047" spans="1:10" hidden="1">
      <c r="A1047" s="33">
        <f>IF(D1047=0,0,IF(D1046=0,A1045+1,A1046+1))</f>
        <v>0</v>
      </c>
      <c r="B1047" s="32" t="e">
        <f>CONCATENATE('Анализ стоимости'!$AX$1," г (",CHOOSE(VLOOKUP(F$39,таблица,45,0),"Январь","Февраль","Март","Апрель","Май","Июнь","Июль","Август","Сентябрь","Октябрь","Ноябрь","Декабрь")," - ",CHOOSE(VLOOKUP(F$39,таблица,46,0),"Январь","Февраль","Март","Апрель","Май","Июнь","Июль","Август","Сентябрь","Октябрь","Ноябрь","Декабрь"),")")</f>
        <v>#VALUE!</v>
      </c>
      <c r="C1047" s="33" t="s">
        <v>115</v>
      </c>
      <c r="D1047" s="55">
        <f>IF(D1049=0,0,VLOOKUP($F$39,таблица,50,0)*100+100)</f>
        <v>0</v>
      </c>
      <c r="J1047" s="362" t="str">
        <f>IF(D1047=0,"Пустая строка (убрать галочку)",1)</f>
        <v>Пустая строка (убрать галочку)</v>
      </c>
    </row>
    <row r="1048" spans="1:10" hidden="1">
      <c r="A1048" s="33">
        <f>IF(D1048=0,0,IF(D1047=0,A1046+1,A1047+1))</f>
        <v>0</v>
      </c>
      <c r="B1048" s="32" t="str">
        <f>"Рост стоимости "&amp;'Анализ стоимости'!$AW$1&amp;" г."</f>
        <v>Рост стоимости 2018 г.</v>
      </c>
      <c r="C1048" s="33" t="s">
        <v>116</v>
      </c>
      <c r="D1048" s="34">
        <f>VLOOKUP($F$39,таблица,38,0)</f>
        <v>0</v>
      </c>
      <c r="J1048" s="362" t="str">
        <f>IF(D1048=0,"Пустая строка (убрать галочку)",1)</f>
        <v>Пустая строка (убрать галочку)</v>
      </c>
    </row>
    <row r="1049" spans="1:10" hidden="1">
      <c r="A1049" s="33">
        <f>IF(D1049=0,0,IF(D1048=0,A1047+1,A1048+1))</f>
        <v>0</v>
      </c>
      <c r="B1049" s="32" t="str">
        <f>"Рост стоимости "&amp;'Анализ стоимости'!$AX$1&amp;" г."</f>
        <v>Рост стоимости 2019 г.</v>
      </c>
      <c r="C1049" s="33" t="s">
        <v>116</v>
      </c>
      <c r="D1049" s="34">
        <f>VLOOKUP($F$39,таблица,40,0)</f>
        <v>0</v>
      </c>
      <c r="J1049" s="362" t="str">
        <f>IF(D1049=0,"Пустая строка (убрать галочку)",1)</f>
        <v>Пустая строка (убрать галочку)</v>
      </c>
    </row>
    <row r="1050" spans="1:10" hidden="1">
      <c r="A1050" s="384" t="s">
        <v>117</v>
      </c>
      <c r="B1050" s="384"/>
      <c r="C1050" s="384"/>
      <c r="D1050" s="384"/>
      <c r="J1050" s="362" t="str">
        <f>IF($F$39=0,"Пустая строка (убрать галочку)",1)</f>
        <v>Пустая строка (убрать галочку)</v>
      </c>
    </row>
    <row r="1051" spans="1:10" ht="31.5" hidden="1">
      <c r="A1051" s="33">
        <f>IF(D1051=0,0,IF(D1049=0,IF(D1048=0,A1045+1,A1048+1),A1049+1))</f>
        <v>0</v>
      </c>
      <c r="B105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051" s="33" t="s">
        <v>116</v>
      </c>
      <c r="D1051" s="34">
        <f>SUM(VLOOKUP($F$39,таблица,37,0),D1048)</f>
        <v>0</v>
      </c>
      <c r="E1051" s="7"/>
      <c r="J1051" s="362" t="str">
        <f t="shared" ref="J1051:J1057" si="141">IF(D1051=0,"Пустая строка (убрать галочку)",1)</f>
        <v>Пустая строка (убрать галочку)</v>
      </c>
    </row>
    <row r="1052" spans="1:10" hidden="1">
      <c r="A1052" s="33">
        <f>IF(D1052=0,0,A1051+1)</f>
        <v>0</v>
      </c>
      <c r="B1052" s="45" t="s">
        <v>119</v>
      </c>
      <c r="C1052" s="33" t="s">
        <v>116</v>
      </c>
      <c r="D1052" s="34">
        <f>VLOOKUP($F$39,таблица,39,0)</f>
        <v>0</v>
      </c>
      <c r="E1052" s="7"/>
      <c r="J1052" s="362" t="str">
        <f t="shared" si="141"/>
        <v>Пустая строка (убрать галочку)</v>
      </c>
    </row>
    <row r="1053" spans="1:10" hidden="1">
      <c r="A1053" s="33">
        <f>IF(D1053=0,0,A1052+1)</f>
        <v>0</v>
      </c>
      <c r="B1053" s="45" t="str">
        <f>"Всего с НДС на "&amp;'Анализ стоимости'!$AW$1&amp;" г."</f>
        <v>Всего с НДС на 2018 г.</v>
      </c>
      <c r="C1053" s="33" t="s">
        <v>116</v>
      </c>
      <c r="D1053" s="46">
        <f>SUM(D1051:D1052)</f>
        <v>0</v>
      </c>
      <c r="E1053" s="56">
        <f>VLOOKUP($F$39,таблица,51,0)</f>
        <v>0</v>
      </c>
      <c r="J1053" s="362" t="str">
        <f t="shared" si="141"/>
        <v>Пустая строка (убрать галочку)</v>
      </c>
    </row>
    <row r="1054" spans="1:10" ht="31.5" hidden="1">
      <c r="A1054" s="33">
        <f>IF(D1054=0,0,IF(D1053=0,IF(D1049=0,A1045+1,A1049+1),A1053+1))</f>
        <v>0</v>
      </c>
      <c r="B105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054" s="33" t="s">
        <v>116</v>
      </c>
      <c r="D1054" s="34">
        <f>VLOOKUP($F$39,таблица,36,0)-VLOOKUP($F$39,таблица,37,0)+D1049</f>
        <v>0</v>
      </c>
      <c r="J1054" s="362" t="str">
        <f t="shared" si="141"/>
        <v>Пустая строка (убрать галочку)</v>
      </c>
    </row>
    <row r="1055" spans="1:10" hidden="1">
      <c r="A1055" s="33">
        <f>IF(D1055=0,0,A1054+1)</f>
        <v>0</v>
      </c>
      <c r="B1055" s="45" t="s">
        <v>119</v>
      </c>
      <c r="C1055" s="33" t="s">
        <v>116</v>
      </c>
      <c r="D1055" s="34">
        <f>VLOOKUP($F$39,таблица,41,0)</f>
        <v>0</v>
      </c>
      <c r="J1055" s="362" t="str">
        <f t="shared" si="141"/>
        <v>Пустая строка (убрать галочку)</v>
      </c>
    </row>
    <row r="1056" spans="1:10" hidden="1">
      <c r="A1056" s="33">
        <f>IF(D1056=0,0,A1055+1)</f>
        <v>0</v>
      </c>
      <c r="B1056" s="45" t="str">
        <f>"Всего с НДС на "&amp;'Анализ стоимости'!$AX$1&amp;" г."</f>
        <v>Всего с НДС на 2019 г.</v>
      </c>
      <c r="C1056" s="33" t="s">
        <v>116</v>
      </c>
      <c r="D1056" s="46">
        <f>SUM(D1054:D1055)</f>
        <v>0</v>
      </c>
      <c r="E1056" s="56">
        <f>VLOOKUP($F$39,таблица,52,0)</f>
        <v>0</v>
      </c>
      <c r="J1056" s="362" t="str">
        <f t="shared" si="141"/>
        <v>Пустая строка (убрать галочку)</v>
      </c>
    </row>
    <row r="1057" spans="1:10" hidden="1">
      <c r="A1057" s="33">
        <f>IF(D1057=0,0,A1056+1)</f>
        <v>0</v>
      </c>
      <c r="B1057" s="45" t="s">
        <v>118</v>
      </c>
      <c r="C1057" s="33" t="s">
        <v>116</v>
      </c>
      <c r="D1057" s="46">
        <f>IF(OR(D1053=0,D1056=0),0,D1056+D1053)</f>
        <v>0</v>
      </c>
      <c r="E1057" s="56">
        <f>VLOOKUP($F$39,таблица,42,0)</f>
        <v>0</v>
      </c>
      <c r="J1057" s="362" t="str">
        <f t="shared" si="141"/>
        <v>Пустая строка (убрать галочку)</v>
      </c>
    </row>
    <row r="1058" spans="1:10" hidden="1">
      <c r="A1058" s="13"/>
      <c r="B1058" s="13"/>
      <c r="C1058" s="13"/>
      <c r="D1058" s="14"/>
      <c r="J1058" s="362" t="str">
        <f>IF($F$39=0,"Пустая строка (убрать галочку)",1)</f>
        <v>Пустая строка (убрать галочку)</v>
      </c>
    </row>
    <row r="1059" spans="1:10" ht="47.25" hidden="1" customHeight="1">
      <c r="A105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059" s="382"/>
      <c r="C1059" s="67"/>
      <c r="D1059" s="48" t="str">
        <f>'Анализ стоимости'!$I$101</f>
        <v>Шестопал О.Н.</v>
      </c>
      <c r="G1059" s="43" t="str">
        <f>A1059</f>
        <v>Специалист администрации Старонижестеблиевского сельского поселения Красноармейского района</v>
      </c>
      <c r="J1059" s="362" t="str">
        <f>IF($F$39=0,"Пустая строка (убрать галочку)",1)</f>
        <v>Пустая строка (убрать галочку)</v>
      </c>
    </row>
    <row r="1060" spans="1:10" hidden="1">
      <c r="A1060" s="49"/>
      <c r="B1060" s="49"/>
      <c r="C1060" s="49"/>
      <c r="D1060" s="50"/>
      <c r="J1060" s="362" t="str">
        <f>IF($F$39=0,"Пустая строка (убрать галочку)",1)</f>
        <v>Пустая строка (убрать галочку)</v>
      </c>
    </row>
    <row r="1061" spans="1:10" hidden="1">
      <c r="A1061" s="375"/>
      <c r="B1061" s="375"/>
      <c r="C1061" s="3"/>
      <c r="D1061" s="3"/>
      <c r="J1061" s="362" t="str">
        <f>IF($F$39=0,"Пустая строка (убрать галочку)",1)</f>
        <v>Пустая строка (убрать галочку)</v>
      </c>
    </row>
    <row r="1062" spans="1:10" hidden="1">
      <c r="A1062" s="385" t="s">
        <v>174</v>
      </c>
      <c r="B1062" s="385"/>
      <c r="C1062" s="385"/>
      <c r="D1062" s="385"/>
      <c r="G1062" s="37"/>
      <c r="H1062" s="37"/>
      <c r="J1062" s="362" t="str">
        <f t="shared" ref="J1062:J1079" si="142">IF($F$40=0,"Пустая строка (убрать галочку)",1)</f>
        <v>Пустая строка (убрать галочку)</v>
      </c>
    </row>
    <row r="1063" spans="1:10" ht="47.25" hidden="1" customHeight="1">
      <c r="A1063" s="376" t="str">
        <f>CONCATENATE("Наименование объекта: ",VLOOKUP($F$40,таблица,9,0))</f>
        <v xml:space="preserve">Наименование объекта: </v>
      </c>
      <c r="B1063" s="376"/>
      <c r="C1063" s="376"/>
      <c r="D1063" s="376"/>
      <c r="I1063" s="58" t="str">
        <f>A1063</f>
        <v xml:space="preserve">Наименование объекта: </v>
      </c>
      <c r="J1063" s="362" t="str">
        <f t="shared" si="142"/>
        <v>Пустая строка (убрать галочку)</v>
      </c>
    </row>
    <row r="1064" spans="1:10" hidden="1">
      <c r="A1064" s="30"/>
      <c r="B1064" s="25"/>
      <c r="C1064" s="25"/>
      <c r="D1064" s="25"/>
      <c r="J1064" s="362" t="str">
        <f t="shared" si="142"/>
        <v>Пустая строка (убрать галочку)</v>
      </c>
    </row>
    <row r="1065" spans="1:10" hidden="1">
      <c r="A1065" s="29" t="s">
        <v>111</v>
      </c>
      <c r="B1065" s="22"/>
      <c r="C1065" s="22"/>
      <c r="D1065" s="22"/>
      <c r="J1065" s="362" t="str">
        <f t="shared" si="142"/>
        <v>Пустая строка (убрать галочку)</v>
      </c>
    </row>
    <row r="1066" spans="1:10" hidden="1">
      <c r="A1066" s="383" t="s">
        <v>112</v>
      </c>
      <c r="B1066" s="383"/>
      <c r="C1066" s="383"/>
      <c r="D1066" s="383"/>
      <c r="J1066" s="362" t="str">
        <f t="shared" si="142"/>
        <v>Пустая строка (убрать галочку)</v>
      </c>
    </row>
    <row r="1067" spans="1:10" ht="47.25" hidden="1">
      <c r="A1067" s="68" t="s">
        <v>67</v>
      </c>
      <c r="B1067" s="68" t="s">
        <v>98</v>
      </c>
      <c r="C1067" s="377" t="str">
        <f>CONCATENATE("Стоимость  согласно сметной документации (руб.) в текущих ценах по состоянию на ",VLOOKUP($F$40,таблица,5,0)," г.")</f>
        <v>Стоимость  согласно сметной документации (руб.) в текущих ценах по состоянию на  г.</v>
      </c>
      <c r="D1067" s="378"/>
      <c r="H1067" s="44" t="str">
        <f>C1067</f>
        <v>Стоимость  согласно сметной документации (руб.) в текущих ценах по состоянию на  г.</v>
      </c>
      <c r="J1067" s="362" t="str">
        <f t="shared" si="142"/>
        <v>Пустая строка (убрать галочку)</v>
      </c>
    </row>
    <row r="1068" spans="1:10" hidden="1">
      <c r="A1068" s="33">
        <v>1</v>
      </c>
      <c r="B1068" s="32" t="s">
        <v>46</v>
      </c>
      <c r="C1068" s="379">
        <f>VLOOKUP($F$40,таблица,10,0)</f>
        <v>0</v>
      </c>
      <c r="D1068" s="380"/>
      <c r="J1068" s="362" t="str">
        <f t="shared" si="142"/>
        <v>Пустая строка (убрать галочку)</v>
      </c>
    </row>
    <row r="1069" spans="1:10" hidden="1">
      <c r="A1069" s="33">
        <v>2</v>
      </c>
      <c r="B1069" s="32" t="s">
        <v>41</v>
      </c>
      <c r="C1069" s="379">
        <f>VLOOKUP($F$40,таблица,11,0)</f>
        <v>0</v>
      </c>
      <c r="D1069" s="380"/>
      <c r="J1069" s="362" t="str">
        <f t="shared" si="142"/>
        <v>Пустая строка (убрать галочку)</v>
      </c>
    </row>
    <row r="1070" spans="1:10" ht="31.5" hidden="1">
      <c r="A1070" s="33">
        <v>3</v>
      </c>
      <c r="B1070" s="32" t="s">
        <v>3</v>
      </c>
      <c r="C1070" s="379">
        <f>VLOOKUP($F$40,таблица,12,0)</f>
        <v>0</v>
      </c>
      <c r="D1070" s="380"/>
      <c r="J1070" s="362" t="str">
        <f t="shared" si="142"/>
        <v>Пустая строка (убрать галочку)</v>
      </c>
    </row>
    <row r="1071" spans="1:10" hidden="1">
      <c r="A1071" s="33">
        <v>4</v>
      </c>
      <c r="B1071" s="32" t="s">
        <v>42</v>
      </c>
      <c r="C1071" s="379">
        <f>VLOOKUP($F$40,таблица,13,0)</f>
        <v>0</v>
      </c>
      <c r="D1071" s="380"/>
      <c r="J1071" s="362" t="str">
        <f t="shared" si="142"/>
        <v>Пустая строка (убрать галочку)</v>
      </c>
    </row>
    <row r="1072" spans="1:10" hidden="1">
      <c r="A1072" s="33">
        <v>5</v>
      </c>
      <c r="B1072" s="32" t="s">
        <v>5</v>
      </c>
      <c r="C1072" s="379">
        <f>VLOOKUP($F$40,таблица,14,0)</f>
        <v>0</v>
      </c>
      <c r="D1072" s="380"/>
      <c r="J1072" s="362" t="str">
        <f t="shared" si="142"/>
        <v>Пустая строка (убрать галочку)</v>
      </c>
    </row>
    <row r="1073" spans="1:10" hidden="1">
      <c r="A1073" s="33">
        <v>6</v>
      </c>
      <c r="B1073" s="32" t="s">
        <v>12</v>
      </c>
      <c r="C1073" s="379">
        <f>VLOOKUP($F$40,таблица,18,0)</f>
        <v>0</v>
      </c>
      <c r="D1073" s="380"/>
      <c r="J1073" s="362" t="str">
        <f t="shared" si="142"/>
        <v>Пустая строка (убрать галочку)</v>
      </c>
    </row>
    <row r="1074" spans="1:10" hidden="1">
      <c r="A1074" s="33">
        <v>7</v>
      </c>
      <c r="B1074" s="32" t="s">
        <v>88</v>
      </c>
      <c r="C1074" s="379">
        <f>VLOOKUP($F$40,таблица,19,0)+VLOOKUP($F$40,таблица,21,0)+VLOOKUP($F$40,таблица,22,0)+VLOOKUP($F$40,таблица,23,0)+VLOOKUP($F$40,таблица,24,0)+VLOOKUP($F$40,таблица,25,0)+VLOOKUP($F$40,таблица,26,0)</f>
        <v>0</v>
      </c>
      <c r="D1074" s="380"/>
      <c r="J1074" s="362" t="str">
        <f t="shared" si="142"/>
        <v>Пустая строка (убрать галочку)</v>
      </c>
    </row>
    <row r="1075" spans="1:10" hidden="1">
      <c r="A1075" s="33">
        <v>8</v>
      </c>
      <c r="B1075" s="32" t="s">
        <v>62</v>
      </c>
      <c r="C1075" s="379">
        <f>VLOOKUP($F$40,таблица,31,0)</f>
        <v>0</v>
      </c>
      <c r="D1075" s="380"/>
      <c r="J1075" s="362" t="str">
        <f t="shared" si="142"/>
        <v>Пустая строка (убрать галочку)</v>
      </c>
    </row>
    <row r="1076" spans="1:10" hidden="1">
      <c r="A1076" s="33">
        <v>9</v>
      </c>
      <c r="B1076" s="32" t="s">
        <v>127</v>
      </c>
      <c r="C1076" s="379">
        <f>SUM(C1068:D1075)</f>
        <v>0</v>
      </c>
      <c r="D1076" s="380"/>
      <c r="J1076" s="362" t="str">
        <f t="shared" si="142"/>
        <v>Пустая строка (убрать галочку)</v>
      </c>
    </row>
    <row r="1077" spans="1:10" hidden="1">
      <c r="A1077" s="384" t="s">
        <v>122</v>
      </c>
      <c r="B1077" s="384"/>
      <c r="C1077" s="384"/>
      <c r="D1077" s="384"/>
      <c r="J1077" s="362" t="str">
        <f t="shared" si="142"/>
        <v>Пустая строка (убрать галочку)</v>
      </c>
    </row>
    <row r="1078" spans="1:10" ht="31.5" hidden="1">
      <c r="A1078" s="35" t="s">
        <v>67</v>
      </c>
      <c r="B1078" s="68" t="s">
        <v>21</v>
      </c>
      <c r="C1078" s="68" t="s">
        <v>114</v>
      </c>
      <c r="D1078" s="68" t="s">
        <v>99</v>
      </c>
      <c r="J1078" s="362" t="str">
        <f t="shared" si="142"/>
        <v>Пустая строка (убрать галочку)</v>
      </c>
    </row>
    <row r="1079" spans="1:10" hidden="1">
      <c r="A1079" s="33">
        <v>10</v>
      </c>
      <c r="B1079" s="33" t="e">
        <f>VLOOKUP((VLOOKUP($F$40,таблица,8,0)),рем_содер,2,0)</f>
        <v>#N/A</v>
      </c>
      <c r="C1079" s="33"/>
      <c r="D1079" s="32"/>
      <c r="J1079" s="362" t="str">
        <f t="shared" si="142"/>
        <v>Пустая строка (убрать галочку)</v>
      </c>
    </row>
    <row r="1080" spans="1:10" hidden="1">
      <c r="A1080" s="33">
        <f>IF(D1080=0,0,A1079+1)</f>
        <v>0</v>
      </c>
      <c r="B1080" s="32" t="e">
        <f>CONCATENATE('Анализ стоимости'!$AW$1," г (",CHOOSE(VLOOKUP(F$40,таблица,43,0),"Январь","Февраль","Март","Апрель","Май","Июнь","Июль","Август","Сентябрь","Октябрь","Ноябрь","Декабрь")," - ",CHOOSE(VLOOKUP(F$40,таблица,44,0),"Январь","Февраль","Март","Апрель","Май","Июнь","Июль","Август","Сентябрь","Октябрь","Ноябрь","Декабрь"),")")</f>
        <v>#VALUE!</v>
      </c>
      <c r="C1080" s="33" t="s">
        <v>115</v>
      </c>
      <c r="D1080" s="55">
        <f>IF(D1082=0,0,VLOOKUP($F$40,таблица,49,0)*100+100)</f>
        <v>0</v>
      </c>
      <c r="J1080" s="362" t="str">
        <f>IF(D1080=0,"Пустая строка (убрать галочку)",1)</f>
        <v>Пустая строка (убрать галочку)</v>
      </c>
    </row>
    <row r="1081" spans="1:10" hidden="1">
      <c r="A1081" s="33">
        <f>IF(D1081=0,0,IF(D1080=0,A1079+1,A1080+1))</f>
        <v>0</v>
      </c>
      <c r="B1081" s="32" t="e">
        <f>CONCATENATE('Анализ стоимости'!$AX$1," г (",CHOOSE(VLOOKUP(F$40,таблица,45,0),"Январь","Февраль","Март","Апрель","Май","Июнь","Июль","Август","Сентябрь","Октябрь","Ноябрь","Декабрь")," - ",CHOOSE(VLOOKUP(F$40,таблица,46,0),"Январь","Февраль","Март","Апрель","Май","Июнь","Июль","Август","Сентябрь","Октябрь","Ноябрь","Декабрь"),")")</f>
        <v>#VALUE!</v>
      </c>
      <c r="C1081" s="33" t="s">
        <v>115</v>
      </c>
      <c r="D1081" s="55">
        <f>IF(D1083=0,0,VLOOKUP($F$40,таблица,50,0)*100+100)</f>
        <v>0</v>
      </c>
      <c r="J1081" s="362" t="str">
        <f>IF(D1081=0,"Пустая строка (убрать галочку)",1)</f>
        <v>Пустая строка (убрать галочку)</v>
      </c>
    </row>
    <row r="1082" spans="1:10" hidden="1">
      <c r="A1082" s="33">
        <f>IF(D1082=0,0,IF(D1081=0,A1080+1,A1081+1))</f>
        <v>0</v>
      </c>
      <c r="B1082" s="32" t="str">
        <f>"Рост стоимости "&amp;'Анализ стоимости'!$AW$1&amp;" г."</f>
        <v>Рост стоимости 2018 г.</v>
      </c>
      <c r="C1082" s="33" t="s">
        <v>116</v>
      </c>
      <c r="D1082" s="34">
        <f>VLOOKUP($F$40,таблица,38,0)</f>
        <v>0</v>
      </c>
      <c r="J1082" s="362" t="str">
        <f>IF(D1082=0,"Пустая строка (убрать галочку)",1)</f>
        <v>Пустая строка (убрать галочку)</v>
      </c>
    </row>
    <row r="1083" spans="1:10" hidden="1">
      <c r="A1083" s="33">
        <f>IF(D1083=0,0,IF(D1082=0,A1081+1,A1082+1))</f>
        <v>0</v>
      </c>
      <c r="B1083" s="32" t="str">
        <f>"Рост стоимости "&amp;'Анализ стоимости'!$AX$1&amp;" г."</f>
        <v>Рост стоимости 2019 г.</v>
      </c>
      <c r="C1083" s="33" t="s">
        <v>116</v>
      </c>
      <c r="D1083" s="34">
        <f>VLOOKUP($F$40,таблица,40,0)</f>
        <v>0</v>
      </c>
      <c r="J1083" s="362" t="str">
        <f>IF(D1083=0,"Пустая строка (убрать галочку)",1)</f>
        <v>Пустая строка (убрать галочку)</v>
      </c>
    </row>
    <row r="1084" spans="1:10" hidden="1">
      <c r="A1084" s="384" t="s">
        <v>117</v>
      </c>
      <c r="B1084" s="384"/>
      <c r="C1084" s="384"/>
      <c r="D1084" s="384"/>
      <c r="J1084" s="362" t="str">
        <f>IF($F$40=0,"Пустая строка (убрать галочку)",1)</f>
        <v>Пустая строка (убрать галочку)</v>
      </c>
    </row>
    <row r="1085" spans="1:10" ht="31.5" hidden="1">
      <c r="A1085" s="33">
        <f>IF(D1085=0,0,IF(D1083=0,IF(D1082=0,A1079+1,A1082+1),A1083+1))</f>
        <v>0</v>
      </c>
      <c r="B108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085" s="33" t="s">
        <v>116</v>
      </c>
      <c r="D1085" s="34">
        <f>SUM(VLOOKUP($F$40,таблица,37,0),D1082)</f>
        <v>0</v>
      </c>
      <c r="E1085" s="7"/>
      <c r="J1085" s="362" t="str">
        <f t="shared" ref="J1085:J1091" si="143">IF(D1085=0,"Пустая строка (убрать галочку)",1)</f>
        <v>Пустая строка (убрать галочку)</v>
      </c>
    </row>
    <row r="1086" spans="1:10" hidden="1">
      <c r="A1086" s="33">
        <f>IF(D1086=0,0,A1085+1)</f>
        <v>0</v>
      </c>
      <c r="B1086" s="45" t="s">
        <v>119</v>
      </c>
      <c r="C1086" s="33" t="s">
        <v>116</v>
      </c>
      <c r="D1086" s="34">
        <f>VLOOKUP($F$40,таблица,39,0)</f>
        <v>0</v>
      </c>
      <c r="E1086" s="7"/>
      <c r="J1086" s="362" t="str">
        <f t="shared" si="143"/>
        <v>Пустая строка (убрать галочку)</v>
      </c>
    </row>
    <row r="1087" spans="1:10" hidden="1">
      <c r="A1087" s="33">
        <f>IF(D1087=0,0,A1086+1)</f>
        <v>0</v>
      </c>
      <c r="B1087" s="45" t="str">
        <f>"Всего с НДС на "&amp;'Анализ стоимости'!$AW$1&amp;" г."</f>
        <v>Всего с НДС на 2018 г.</v>
      </c>
      <c r="C1087" s="33" t="s">
        <v>116</v>
      </c>
      <c r="D1087" s="46">
        <f>SUM(D1085:D1086)</f>
        <v>0</v>
      </c>
      <c r="E1087" s="56">
        <f>VLOOKUP($F$40,таблица,51,0)</f>
        <v>0</v>
      </c>
      <c r="J1087" s="362" t="str">
        <f t="shared" si="143"/>
        <v>Пустая строка (убрать галочку)</v>
      </c>
    </row>
    <row r="1088" spans="1:10" ht="31.5" hidden="1">
      <c r="A1088" s="33">
        <f>IF(D1088=0,0,IF(D1087=0,IF(D1083=0,A1079+1,A1083+1),A1087+1))</f>
        <v>0</v>
      </c>
      <c r="B108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088" s="33" t="s">
        <v>116</v>
      </c>
      <c r="D1088" s="34">
        <f>VLOOKUP($F$40,таблица,36,0)-VLOOKUP($F$40,таблица,37,0)+D1083</f>
        <v>0</v>
      </c>
      <c r="J1088" s="362" t="str">
        <f t="shared" si="143"/>
        <v>Пустая строка (убрать галочку)</v>
      </c>
    </row>
    <row r="1089" spans="1:10" hidden="1">
      <c r="A1089" s="33">
        <f>IF(D1089=0,0,A1088+1)</f>
        <v>0</v>
      </c>
      <c r="B1089" s="45" t="s">
        <v>119</v>
      </c>
      <c r="C1089" s="33" t="s">
        <v>116</v>
      </c>
      <c r="D1089" s="34">
        <f>VLOOKUP($F$40,таблица,41,0)</f>
        <v>0</v>
      </c>
      <c r="J1089" s="362" t="str">
        <f t="shared" si="143"/>
        <v>Пустая строка (убрать галочку)</v>
      </c>
    </row>
    <row r="1090" spans="1:10" hidden="1">
      <c r="A1090" s="33">
        <f>IF(D1090=0,0,A1089+1)</f>
        <v>0</v>
      </c>
      <c r="B1090" s="45" t="str">
        <f>"Всего с НДС на "&amp;'Анализ стоимости'!$AX$1&amp;" г."</f>
        <v>Всего с НДС на 2019 г.</v>
      </c>
      <c r="C1090" s="33" t="s">
        <v>116</v>
      </c>
      <c r="D1090" s="46">
        <f>SUM(D1088:D1089)</f>
        <v>0</v>
      </c>
      <c r="E1090" s="56">
        <f>VLOOKUP($F$40,таблица,52,0)</f>
        <v>0</v>
      </c>
      <c r="J1090" s="362" t="str">
        <f t="shared" si="143"/>
        <v>Пустая строка (убрать галочку)</v>
      </c>
    </row>
    <row r="1091" spans="1:10" hidden="1">
      <c r="A1091" s="33">
        <f>IF(D1091=0,0,A1090+1)</f>
        <v>0</v>
      </c>
      <c r="B1091" s="45" t="s">
        <v>118</v>
      </c>
      <c r="C1091" s="33" t="s">
        <v>116</v>
      </c>
      <c r="D1091" s="46">
        <f>IF(OR(D1087=0,D1090=0),0,D1090+D1087)</f>
        <v>0</v>
      </c>
      <c r="E1091" s="56">
        <f>VLOOKUP($F$40,таблица,42,0)</f>
        <v>0</v>
      </c>
      <c r="J1091" s="362" t="str">
        <f t="shared" si="143"/>
        <v>Пустая строка (убрать галочку)</v>
      </c>
    </row>
    <row r="1092" spans="1:10" hidden="1">
      <c r="A1092" s="13"/>
      <c r="B1092" s="13"/>
      <c r="C1092" s="13"/>
      <c r="D1092" s="14"/>
      <c r="J1092" s="362" t="str">
        <f>IF($F$40=0,"Пустая строка (убрать галочку)",1)</f>
        <v>Пустая строка (убрать галочку)</v>
      </c>
    </row>
    <row r="1093" spans="1:10" ht="47.25" hidden="1" customHeight="1">
      <c r="A109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093" s="382"/>
      <c r="C1093" s="67"/>
      <c r="D1093" s="48" t="str">
        <f>'Анализ стоимости'!$I$101</f>
        <v>Шестопал О.Н.</v>
      </c>
      <c r="G1093" s="43" t="str">
        <f>A1093</f>
        <v>Специалист администрации Старонижестеблиевского сельского поселения Красноармейского района</v>
      </c>
      <c r="J1093" s="362" t="str">
        <f>IF($F$40=0,"Пустая строка (убрать галочку)",1)</f>
        <v>Пустая строка (убрать галочку)</v>
      </c>
    </row>
    <row r="1094" spans="1:10" hidden="1">
      <c r="A1094" s="49"/>
      <c r="B1094" s="382"/>
      <c r="C1094" s="382"/>
      <c r="D1094" s="50"/>
      <c r="J1094" s="362" t="str">
        <f>IF($F$40=0,"Пустая строка (убрать галочку)",1)</f>
        <v>Пустая строка (убрать галочку)</v>
      </c>
    </row>
    <row r="1095" spans="1:10" hidden="1">
      <c r="A1095" s="375"/>
      <c r="B1095" s="375"/>
      <c r="C1095" s="3"/>
      <c r="D1095" s="3"/>
      <c r="J1095" s="362" t="str">
        <f>IF($F$40=0,"Пустая строка (убрать галочку)",1)</f>
        <v>Пустая строка (убрать галочку)</v>
      </c>
    </row>
    <row r="1096" spans="1:10" hidden="1">
      <c r="A1096" s="385" t="s">
        <v>175</v>
      </c>
      <c r="B1096" s="385"/>
      <c r="C1096" s="385"/>
      <c r="D1096" s="385"/>
      <c r="G1096" s="37"/>
      <c r="H1096" s="37"/>
      <c r="J1096" s="362" t="str">
        <f t="shared" ref="J1096:J1113" si="144">IF($F$41=0,"Пустая строка (убрать галочку)",1)</f>
        <v>Пустая строка (убрать галочку)</v>
      </c>
    </row>
    <row r="1097" spans="1:10" ht="47.25" hidden="1" customHeight="1">
      <c r="A1097" s="376" t="str">
        <f>CONCATENATE("Наименование объекта: ",VLOOKUP($F$41,таблица,9,0))</f>
        <v xml:space="preserve">Наименование объекта: </v>
      </c>
      <c r="B1097" s="376"/>
      <c r="C1097" s="376"/>
      <c r="D1097" s="376"/>
      <c r="I1097" s="58" t="str">
        <f>A1097</f>
        <v xml:space="preserve">Наименование объекта: </v>
      </c>
      <c r="J1097" s="362" t="str">
        <f t="shared" si="144"/>
        <v>Пустая строка (убрать галочку)</v>
      </c>
    </row>
    <row r="1098" spans="1:10" hidden="1">
      <c r="A1098" s="30"/>
      <c r="B1098" s="25"/>
      <c r="C1098" s="25"/>
      <c r="D1098" s="25"/>
      <c r="J1098" s="362" t="str">
        <f t="shared" si="144"/>
        <v>Пустая строка (убрать галочку)</v>
      </c>
    </row>
    <row r="1099" spans="1:10" hidden="1">
      <c r="A1099" s="29" t="s">
        <v>111</v>
      </c>
      <c r="B1099" s="22"/>
      <c r="C1099" s="22"/>
      <c r="D1099" s="22"/>
      <c r="J1099" s="362" t="str">
        <f t="shared" si="144"/>
        <v>Пустая строка (убрать галочку)</v>
      </c>
    </row>
    <row r="1100" spans="1:10" hidden="1">
      <c r="A1100" s="383" t="s">
        <v>112</v>
      </c>
      <c r="B1100" s="383"/>
      <c r="C1100" s="383"/>
      <c r="D1100" s="383"/>
      <c r="J1100" s="362" t="str">
        <f t="shared" si="144"/>
        <v>Пустая строка (убрать галочку)</v>
      </c>
    </row>
    <row r="1101" spans="1:10" ht="47.25" hidden="1">
      <c r="A1101" s="68" t="s">
        <v>67</v>
      </c>
      <c r="B1101" s="68" t="s">
        <v>98</v>
      </c>
      <c r="C1101" s="377" t="str">
        <f>CONCATENATE("Стоимость  согласно сметной документации (руб.) в текущих ценах по состоянию на ",VLOOKUP($F$41,таблица,5,0)," г.")</f>
        <v>Стоимость  согласно сметной документации (руб.) в текущих ценах по состоянию на  г.</v>
      </c>
      <c r="D1101" s="378"/>
      <c r="H1101" s="44" t="str">
        <f>C1101</f>
        <v>Стоимость  согласно сметной документации (руб.) в текущих ценах по состоянию на  г.</v>
      </c>
      <c r="J1101" s="362" t="str">
        <f t="shared" si="144"/>
        <v>Пустая строка (убрать галочку)</v>
      </c>
    </row>
    <row r="1102" spans="1:10" hidden="1">
      <c r="A1102" s="33">
        <v>1</v>
      </c>
      <c r="B1102" s="32" t="s">
        <v>46</v>
      </c>
      <c r="C1102" s="379">
        <f>VLOOKUP($F$41,таблица,10,0)</f>
        <v>0</v>
      </c>
      <c r="D1102" s="380"/>
      <c r="J1102" s="362" t="str">
        <f t="shared" si="144"/>
        <v>Пустая строка (убрать галочку)</v>
      </c>
    </row>
    <row r="1103" spans="1:10" hidden="1">
      <c r="A1103" s="33">
        <v>2</v>
      </c>
      <c r="B1103" s="32" t="s">
        <v>41</v>
      </c>
      <c r="C1103" s="379">
        <f>VLOOKUP($F$41,таблица,11,0)</f>
        <v>0</v>
      </c>
      <c r="D1103" s="380"/>
      <c r="J1103" s="362" t="str">
        <f t="shared" si="144"/>
        <v>Пустая строка (убрать галочку)</v>
      </c>
    </row>
    <row r="1104" spans="1:10" ht="31.5" hidden="1">
      <c r="A1104" s="33">
        <v>3</v>
      </c>
      <c r="B1104" s="32" t="s">
        <v>3</v>
      </c>
      <c r="C1104" s="379">
        <f>VLOOKUP($F$41,таблица,12,0)</f>
        <v>0</v>
      </c>
      <c r="D1104" s="380"/>
      <c r="J1104" s="362" t="str">
        <f t="shared" si="144"/>
        <v>Пустая строка (убрать галочку)</v>
      </c>
    </row>
    <row r="1105" spans="1:10" hidden="1">
      <c r="A1105" s="33">
        <v>4</v>
      </c>
      <c r="B1105" s="32" t="s">
        <v>42</v>
      </c>
      <c r="C1105" s="379">
        <f>VLOOKUP($F$41,таблица,13,0)</f>
        <v>0</v>
      </c>
      <c r="D1105" s="380"/>
      <c r="J1105" s="362" t="str">
        <f t="shared" si="144"/>
        <v>Пустая строка (убрать галочку)</v>
      </c>
    </row>
    <row r="1106" spans="1:10" hidden="1">
      <c r="A1106" s="33">
        <v>5</v>
      </c>
      <c r="B1106" s="32" t="s">
        <v>5</v>
      </c>
      <c r="C1106" s="379">
        <f>VLOOKUP($F$41,таблица,14,0)</f>
        <v>0</v>
      </c>
      <c r="D1106" s="380"/>
      <c r="J1106" s="362" t="str">
        <f t="shared" si="144"/>
        <v>Пустая строка (убрать галочку)</v>
      </c>
    </row>
    <row r="1107" spans="1:10" hidden="1">
      <c r="A1107" s="33">
        <v>6</v>
      </c>
      <c r="B1107" s="32" t="s">
        <v>12</v>
      </c>
      <c r="C1107" s="379">
        <f>VLOOKUP($F$41,таблица,18,0)</f>
        <v>0</v>
      </c>
      <c r="D1107" s="380"/>
      <c r="J1107" s="362" t="str">
        <f t="shared" si="144"/>
        <v>Пустая строка (убрать галочку)</v>
      </c>
    </row>
    <row r="1108" spans="1:10" hidden="1">
      <c r="A1108" s="33">
        <v>7</v>
      </c>
      <c r="B1108" s="32" t="s">
        <v>88</v>
      </c>
      <c r="C1108" s="379">
        <f>VLOOKUP($F$41,таблица,19,0)+VLOOKUP($F$41,таблица,21,0)+VLOOKUP($F$41,таблица,22,0)+VLOOKUP($F$41,таблица,23,0)+VLOOKUP($F$41,таблица,24,0)+VLOOKUP($F$41,таблица,25,0)+VLOOKUP($F$41,таблица,26,0)</f>
        <v>0</v>
      </c>
      <c r="D1108" s="380"/>
      <c r="J1108" s="362" t="str">
        <f t="shared" si="144"/>
        <v>Пустая строка (убрать галочку)</v>
      </c>
    </row>
    <row r="1109" spans="1:10" hidden="1">
      <c r="A1109" s="33">
        <v>8</v>
      </c>
      <c r="B1109" s="32" t="s">
        <v>62</v>
      </c>
      <c r="C1109" s="379">
        <f>VLOOKUP($F$41,таблица,31,0)</f>
        <v>0</v>
      </c>
      <c r="D1109" s="380"/>
      <c r="J1109" s="362" t="str">
        <f t="shared" si="144"/>
        <v>Пустая строка (убрать галочку)</v>
      </c>
    </row>
    <row r="1110" spans="1:10" hidden="1">
      <c r="A1110" s="33">
        <v>9</v>
      </c>
      <c r="B1110" s="32" t="s">
        <v>127</v>
      </c>
      <c r="C1110" s="379">
        <f>SUM(C1102:D1109)</f>
        <v>0</v>
      </c>
      <c r="D1110" s="380"/>
      <c r="J1110" s="362" t="str">
        <f t="shared" si="144"/>
        <v>Пустая строка (убрать галочку)</v>
      </c>
    </row>
    <row r="1111" spans="1:10" hidden="1">
      <c r="A1111" s="384" t="s">
        <v>122</v>
      </c>
      <c r="B1111" s="384"/>
      <c r="C1111" s="384"/>
      <c r="D1111" s="384"/>
      <c r="J1111" s="362" t="str">
        <f t="shared" si="144"/>
        <v>Пустая строка (убрать галочку)</v>
      </c>
    </row>
    <row r="1112" spans="1:10" ht="31.5" hidden="1">
      <c r="A1112" s="35" t="s">
        <v>67</v>
      </c>
      <c r="B1112" s="68" t="s">
        <v>21</v>
      </c>
      <c r="C1112" s="68" t="s">
        <v>114</v>
      </c>
      <c r="D1112" s="68" t="s">
        <v>99</v>
      </c>
      <c r="J1112" s="362" t="str">
        <f t="shared" si="144"/>
        <v>Пустая строка (убрать галочку)</v>
      </c>
    </row>
    <row r="1113" spans="1:10" hidden="1">
      <c r="A1113" s="33">
        <v>10</v>
      </c>
      <c r="B1113" s="33" t="e">
        <f>VLOOKUP((VLOOKUP($F$41,таблица,8,0)),рем_содер,2,0)</f>
        <v>#N/A</v>
      </c>
      <c r="C1113" s="33"/>
      <c r="D1113" s="32"/>
      <c r="J1113" s="362" t="str">
        <f t="shared" si="144"/>
        <v>Пустая строка (убрать галочку)</v>
      </c>
    </row>
    <row r="1114" spans="1:10" hidden="1">
      <c r="A1114" s="33">
        <f>IF(D1114=0,0,A1113+1)</f>
        <v>0</v>
      </c>
      <c r="B1114" s="32" t="e">
        <f>CONCATENATE('Анализ стоимости'!$AW$1," г (",CHOOSE(VLOOKUP(F$41,таблица,43,0),"Январь","Февраль","Март","Апрель","Май","Июнь","Июль","Август","Сентябрь","Октябрь","Ноябрь","Декабрь")," - ",CHOOSE(VLOOKUP(F$41,таблица,44,0),"Январь","Февраль","Март","Апрель","Май","Июнь","Июль","Август","Сентябрь","Октябрь","Ноябрь","Декабрь"),")")</f>
        <v>#VALUE!</v>
      </c>
      <c r="C1114" s="33" t="s">
        <v>115</v>
      </c>
      <c r="D1114" s="55">
        <f>IF(D1116=0,0,VLOOKUP($F$41,таблица,49,0)*100+100)</f>
        <v>0</v>
      </c>
      <c r="J1114" s="362" t="str">
        <f>IF(D1114=0,"Пустая строка (убрать галочку)",1)</f>
        <v>Пустая строка (убрать галочку)</v>
      </c>
    </row>
    <row r="1115" spans="1:10" hidden="1">
      <c r="A1115" s="33">
        <f>IF(D1115=0,0,IF(D1114=0,A1113+1,A1114+1))</f>
        <v>0</v>
      </c>
      <c r="B1115" s="32" t="e">
        <f>CONCATENATE('Анализ стоимости'!$AX$1," г (",CHOOSE(VLOOKUP(F$41,таблица,45,0),"Январь","Февраль","Март","Апрель","Май","Июнь","Июль","Август","Сентябрь","Октябрь","Ноябрь","Декабрь")," - ",CHOOSE(VLOOKUP(F$41,таблица,46,0),"Январь","Февраль","Март","Апрель","Май","Июнь","Июль","Август","Сентябрь","Октябрь","Ноябрь","Декабрь"),")")</f>
        <v>#VALUE!</v>
      </c>
      <c r="C1115" s="33" t="s">
        <v>115</v>
      </c>
      <c r="D1115" s="55">
        <f>IF(D1117=0,0,VLOOKUP($F$41,таблица,50,0)*100+100)</f>
        <v>0</v>
      </c>
      <c r="J1115" s="362" t="str">
        <f>IF(D1115=0,"Пустая строка (убрать галочку)",1)</f>
        <v>Пустая строка (убрать галочку)</v>
      </c>
    </row>
    <row r="1116" spans="1:10" hidden="1">
      <c r="A1116" s="33">
        <f>IF(D1116=0,0,IF(D1115=0,A1114+1,A1115+1))</f>
        <v>0</v>
      </c>
      <c r="B1116" s="32" t="str">
        <f>"Рост стоимости "&amp;'Анализ стоимости'!$AW$1&amp;" г."</f>
        <v>Рост стоимости 2018 г.</v>
      </c>
      <c r="C1116" s="33" t="s">
        <v>116</v>
      </c>
      <c r="D1116" s="34">
        <f>VLOOKUP($F$41,таблица,38,0)</f>
        <v>0</v>
      </c>
      <c r="J1116" s="362" t="str">
        <f>IF(D1116=0,"Пустая строка (убрать галочку)",1)</f>
        <v>Пустая строка (убрать галочку)</v>
      </c>
    </row>
    <row r="1117" spans="1:10" hidden="1">
      <c r="A1117" s="33">
        <f>IF(D1117=0,0,IF(D1116=0,A1115+1,A1116+1))</f>
        <v>0</v>
      </c>
      <c r="B1117" s="32" t="str">
        <f>"Рост стоимости "&amp;'Анализ стоимости'!$AX$1&amp;" г."</f>
        <v>Рост стоимости 2019 г.</v>
      </c>
      <c r="C1117" s="33" t="s">
        <v>116</v>
      </c>
      <c r="D1117" s="34">
        <f>VLOOKUP($F$41,таблица,40,0)</f>
        <v>0</v>
      </c>
      <c r="J1117" s="362" t="str">
        <f>IF(D1117=0,"Пустая строка (убрать галочку)",1)</f>
        <v>Пустая строка (убрать галочку)</v>
      </c>
    </row>
    <row r="1118" spans="1:10" hidden="1">
      <c r="A1118" s="384" t="s">
        <v>117</v>
      </c>
      <c r="B1118" s="384"/>
      <c r="C1118" s="384"/>
      <c r="D1118" s="384"/>
      <c r="J1118" s="362" t="str">
        <f>IF($F$41=0,"Пустая строка (убрать галочку)",1)</f>
        <v>Пустая строка (убрать галочку)</v>
      </c>
    </row>
    <row r="1119" spans="1:10" ht="31.5" hidden="1">
      <c r="A1119" s="33">
        <f>IF(D1119=0,0,IF(D1117=0,IF(D1116=0,A1113+1,A1116+1),A1117+1))</f>
        <v>0</v>
      </c>
      <c r="B111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119" s="33" t="s">
        <v>116</v>
      </c>
      <c r="D1119" s="34">
        <f>SUM(VLOOKUP($F$41,таблица,37,0),D1116)</f>
        <v>0</v>
      </c>
      <c r="E1119" s="7"/>
      <c r="J1119" s="362" t="str">
        <f t="shared" ref="J1119:J1125" si="145">IF(D1119=0,"Пустая строка (убрать галочку)",1)</f>
        <v>Пустая строка (убрать галочку)</v>
      </c>
    </row>
    <row r="1120" spans="1:10" hidden="1">
      <c r="A1120" s="33">
        <f>IF(D1120=0,0,A1119+1)</f>
        <v>0</v>
      </c>
      <c r="B1120" s="45" t="s">
        <v>119</v>
      </c>
      <c r="C1120" s="33" t="s">
        <v>116</v>
      </c>
      <c r="D1120" s="34">
        <f>VLOOKUP($F$41,таблица,39,0)</f>
        <v>0</v>
      </c>
      <c r="E1120" s="7"/>
      <c r="J1120" s="362" t="str">
        <f t="shared" si="145"/>
        <v>Пустая строка (убрать галочку)</v>
      </c>
    </row>
    <row r="1121" spans="1:10" hidden="1">
      <c r="A1121" s="33">
        <f>IF(D1121=0,0,A1120+1)</f>
        <v>0</v>
      </c>
      <c r="B1121" s="45" t="str">
        <f>"Всего с НДС на "&amp;'Анализ стоимости'!$AW$1&amp;" г."</f>
        <v>Всего с НДС на 2018 г.</v>
      </c>
      <c r="C1121" s="33" t="s">
        <v>116</v>
      </c>
      <c r="D1121" s="46">
        <f>SUM(D1119:D1120)</f>
        <v>0</v>
      </c>
      <c r="E1121" s="56">
        <f>VLOOKUP($F$41,таблица,51,0)</f>
        <v>0</v>
      </c>
      <c r="J1121" s="362" t="str">
        <f t="shared" si="145"/>
        <v>Пустая строка (убрать галочку)</v>
      </c>
    </row>
    <row r="1122" spans="1:10" ht="31.5" hidden="1">
      <c r="A1122" s="33">
        <f>IF(D1122=0,0,IF(D1121=0,IF(D1117=0,A1113+1,A1117+1),A1121+1))</f>
        <v>0</v>
      </c>
      <c r="B112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122" s="33" t="s">
        <v>116</v>
      </c>
      <c r="D1122" s="34">
        <f>VLOOKUP($F$41,таблица,36,0)-VLOOKUP($F$41,таблица,37,0)+D1117</f>
        <v>0</v>
      </c>
      <c r="J1122" s="362" t="str">
        <f t="shared" si="145"/>
        <v>Пустая строка (убрать галочку)</v>
      </c>
    </row>
    <row r="1123" spans="1:10" hidden="1">
      <c r="A1123" s="33">
        <f>IF(D1123=0,0,A1122+1)</f>
        <v>0</v>
      </c>
      <c r="B1123" s="45" t="s">
        <v>119</v>
      </c>
      <c r="C1123" s="33" t="s">
        <v>116</v>
      </c>
      <c r="D1123" s="34">
        <f>VLOOKUP($F$41,таблица,41,0)</f>
        <v>0</v>
      </c>
      <c r="J1123" s="362" t="str">
        <f t="shared" si="145"/>
        <v>Пустая строка (убрать галочку)</v>
      </c>
    </row>
    <row r="1124" spans="1:10" hidden="1">
      <c r="A1124" s="33">
        <f>IF(D1124=0,0,A1123+1)</f>
        <v>0</v>
      </c>
      <c r="B1124" s="45" t="str">
        <f>"Всего с НДС на "&amp;'Анализ стоимости'!$AX$1&amp;" г."</f>
        <v>Всего с НДС на 2019 г.</v>
      </c>
      <c r="C1124" s="33" t="s">
        <v>116</v>
      </c>
      <c r="D1124" s="46">
        <f>SUM(D1122:D1123)</f>
        <v>0</v>
      </c>
      <c r="E1124" s="56">
        <f>VLOOKUP($F$41,таблица,52,0)</f>
        <v>0</v>
      </c>
      <c r="J1124" s="362" t="str">
        <f t="shared" si="145"/>
        <v>Пустая строка (убрать галочку)</v>
      </c>
    </row>
    <row r="1125" spans="1:10" hidden="1">
      <c r="A1125" s="33">
        <f>IF(D1125=0,0,A1124+1)</f>
        <v>0</v>
      </c>
      <c r="B1125" s="45" t="s">
        <v>118</v>
      </c>
      <c r="C1125" s="33" t="s">
        <v>116</v>
      </c>
      <c r="D1125" s="46">
        <f>IF(OR(D1121=0,D1124=0),0,D1124+D1121)</f>
        <v>0</v>
      </c>
      <c r="E1125" s="56">
        <f>VLOOKUP($F$41,таблица,42,0)</f>
        <v>0</v>
      </c>
      <c r="J1125" s="362" t="str">
        <f t="shared" si="145"/>
        <v>Пустая строка (убрать галочку)</v>
      </c>
    </row>
    <row r="1126" spans="1:10" hidden="1">
      <c r="A1126" s="13"/>
      <c r="B1126" s="13"/>
      <c r="C1126" s="13"/>
      <c r="D1126" s="14"/>
      <c r="J1126" s="362" t="str">
        <f>IF($F$41=0,"Пустая строка (убрать галочку)",1)</f>
        <v>Пустая строка (убрать галочку)</v>
      </c>
    </row>
    <row r="1127" spans="1:10" ht="47.25" hidden="1" customHeight="1">
      <c r="A112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127" s="382"/>
      <c r="C1127" s="67"/>
      <c r="D1127" s="48" t="str">
        <f>'Анализ стоимости'!$I$101</f>
        <v>Шестопал О.Н.</v>
      </c>
      <c r="G1127" s="43" t="str">
        <f>A1127</f>
        <v>Специалист администрации Старонижестеблиевского сельского поселения Красноармейского района</v>
      </c>
      <c r="J1127" s="362" t="str">
        <f>IF($F$41=0,"Пустая строка (убрать галочку)",1)</f>
        <v>Пустая строка (убрать галочку)</v>
      </c>
    </row>
    <row r="1128" spans="1:10" hidden="1">
      <c r="A1128" s="49"/>
      <c r="B1128" s="49"/>
      <c r="C1128" s="49"/>
      <c r="D1128" s="50"/>
      <c r="J1128" s="362" t="str">
        <f>IF($F$41=0,"Пустая строка (убрать галочку)",1)</f>
        <v>Пустая строка (убрать галочку)</v>
      </c>
    </row>
    <row r="1129" spans="1:10" hidden="1">
      <c r="A1129" s="375"/>
      <c r="B1129" s="375"/>
      <c r="C1129" s="3"/>
      <c r="D1129" s="3"/>
      <c r="J1129" s="362" t="str">
        <f>IF($F$41=0,"Пустая строка (убрать галочку)",1)</f>
        <v>Пустая строка (убрать галочку)</v>
      </c>
    </row>
    <row r="1130" spans="1:10" hidden="1">
      <c r="A1130" s="385" t="s">
        <v>176</v>
      </c>
      <c r="B1130" s="385"/>
      <c r="C1130" s="385"/>
      <c r="D1130" s="385"/>
      <c r="G1130" s="37"/>
      <c r="H1130" s="37"/>
      <c r="J1130" s="362" t="str">
        <f t="shared" ref="J1130:J1147" si="146">IF($F$42=0,"Пустая строка (убрать галочку)",1)</f>
        <v>Пустая строка (убрать галочку)</v>
      </c>
    </row>
    <row r="1131" spans="1:10" ht="47.25" hidden="1" customHeight="1">
      <c r="A1131" s="376" t="str">
        <f>CONCATENATE("Наименование объекта: ",VLOOKUP($F$42,таблица,9,0))</f>
        <v xml:space="preserve">Наименование объекта: </v>
      </c>
      <c r="B1131" s="376"/>
      <c r="C1131" s="376"/>
      <c r="D1131" s="376"/>
      <c r="I1131" s="58" t="str">
        <f>A1131</f>
        <v xml:space="preserve">Наименование объекта: </v>
      </c>
      <c r="J1131" s="362" t="str">
        <f t="shared" si="146"/>
        <v>Пустая строка (убрать галочку)</v>
      </c>
    </row>
    <row r="1132" spans="1:10" hidden="1">
      <c r="A1132" s="30"/>
      <c r="B1132" s="25"/>
      <c r="C1132" s="25"/>
      <c r="D1132" s="25"/>
      <c r="J1132" s="362" t="str">
        <f t="shared" si="146"/>
        <v>Пустая строка (убрать галочку)</v>
      </c>
    </row>
    <row r="1133" spans="1:10" hidden="1">
      <c r="A1133" s="29" t="s">
        <v>111</v>
      </c>
      <c r="B1133" s="22"/>
      <c r="C1133" s="22"/>
      <c r="D1133" s="22"/>
      <c r="J1133" s="362" t="str">
        <f t="shared" si="146"/>
        <v>Пустая строка (убрать галочку)</v>
      </c>
    </row>
    <row r="1134" spans="1:10" hidden="1">
      <c r="A1134" s="383" t="s">
        <v>112</v>
      </c>
      <c r="B1134" s="383"/>
      <c r="C1134" s="383"/>
      <c r="D1134" s="383"/>
      <c r="J1134" s="362" t="str">
        <f t="shared" si="146"/>
        <v>Пустая строка (убрать галочку)</v>
      </c>
    </row>
    <row r="1135" spans="1:10" ht="47.25" hidden="1">
      <c r="A1135" s="68" t="s">
        <v>67</v>
      </c>
      <c r="B1135" s="68" t="s">
        <v>98</v>
      </c>
      <c r="C1135" s="377" t="str">
        <f>CONCATENATE("Стоимость  согласно сметной документации (руб.) в текущих ценах по состоянию на ",VLOOKUP($F$42,таблица,5,0)," г.")</f>
        <v>Стоимость  согласно сметной документации (руб.) в текущих ценах по состоянию на  г.</v>
      </c>
      <c r="D1135" s="378"/>
      <c r="H1135" s="44" t="str">
        <f>C1135</f>
        <v>Стоимость  согласно сметной документации (руб.) в текущих ценах по состоянию на  г.</v>
      </c>
      <c r="J1135" s="362" t="str">
        <f t="shared" si="146"/>
        <v>Пустая строка (убрать галочку)</v>
      </c>
    </row>
    <row r="1136" spans="1:10" hidden="1">
      <c r="A1136" s="33">
        <v>1</v>
      </c>
      <c r="B1136" s="32" t="s">
        <v>46</v>
      </c>
      <c r="C1136" s="379">
        <f>VLOOKUP($F$42,таблица,10,0)</f>
        <v>0</v>
      </c>
      <c r="D1136" s="380"/>
      <c r="J1136" s="362" t="str">
        <f t="shared" si="146"/>
        <v>Пустая строка (убрать галочку)</v>
      </c>
    </row>
    <row r="1137" spans="1:10" hidden="1">
      <c r="A1137" s="33">
        <v>2</v>
      </c>
      <c r="B1137" s="32" t="s">
        <v>41</v>
      </c>
      <c r="C1137" s="379">
        <f>VLOOKUP($F$42,таблица,11,0)</f>
        <v>0</v>
      </c>
      <c r="D1137" s="380"/>
      <c r="J1137" s="362" t="str">
        <f t="shared" si="146"/>
        <v>Пустая строка (убрать галочку)</v>
      </c>
    </row>
    <row r="1138" spans="1:10" ht="31.5" hidden="1">
      <c r="A1138" s="33">
        <v>3</v>
      </c>
      <c r="B1138" s="32" t="s">
        <v>3</v>
      </c>
      <c r="C1138" s="379">
        <f>VLOOKUP($F$42,таблица,12,0)</f>
        <v>0</v>
      </c>
      <c r="D1138" s="380"/>
      <c r="J1138" s="362" t="str">
        <f t="shared" si="146"/>
        <v>Пустая строка (убрать галочку)</v>
      </c>
    </row>
    <row r="1139" spans="1:10" hidden="1">
      <c r="A1139" s="33">
        <v>4</v>
      </c>
      <c r="B1139" s="32" t="s">
        <v>42</v>
      </c>
      <c r="C1139" s="379">
        <f>VLOOKUP($F$42,таблица,13,0)</f>
        <v>0</v>
      </c>
      <c r="D1139" s="380"/>
      <c r="J1139" s="362" t="str">
        <f t="shared" si="146"/>
        <v>Пустая строка (убрать галочку)</v>
      </c>
    </row>
    <row r="1140" spans="1:10" hidden="1">
      <c r="A1140" s="33">
        <v>5</v>
      </c>
      <c r="B1140" s="32" t="s">
        <v>5</v>
      </c>
      <c r="C1140" s="379">
        <f>VLOOKUP($F$42,таблица,14,0)</f>
        <v>0</v>
      </c>
      <c r="D1140" s="380"/>
      <c r="J1140" s="362" t="str">
        <f t="shared" si="146"/>
        <v>Пустая строка (убрать галочку)</v>
      </c>
    </row>
    <row r="1141" spans="1:10" hidden="1">
      <c r="A1141" s="33">
        <v>6</v>
      </c>
      <c r="B1141" s="32" t="s">
        <v>12</v>
      </c>
      <c r="C1141" s="379">
        <f>VLOOKUP($F$42,таблица,18,0)</f>
        <v>0</v>
      </c>
      <c r="D1141" s="380"/>
      <c r="J1141" s="362" t="str">
        <f t="shared" si="146"/>
        <v>Пустая строка (убрать галочку)</v>
      </c>
    </row>
    <row r="1142" spans="1:10" hidden="1">
      <c r="A1142" s="33">
        <v>7</v>
      </c>
      <c r="B1142" s="32" t="s">
        <v>88</v>
      </c>
      <c r="C1142" s="379">
        <f>VLOOKUP($F$42,таблица,19,0)+VLOOKUP($F$42,таблица,21,0)+VLOOKUP($F$42,таблица,22,0)+VLOOKUP($F$42,таблица,23,0)+VLOOKUP($F$42,таблица,24,0)+VLOOKUP($F$42,таблица,25,0)+VLOOKUP($F$42,таблица,26,0)</f>
        <v>0</v>
      </c>
      <c r="D1142" s="380"/>
      <c r="J1142" s="362" t="str">
        <f t="shared" si="146"/>
        <v>Пустая строка (убрать галочку)</v>
      </c>
    </row>
    <row r="1143" spans="1:10" hidden="1">
      <c r="A1143" s="33">
        <v>8</v>
      </c>
      <c r="B1143" s="32" t="s">
        <v>62</v>
      </c>
      <c r="C1143" s="379">
        <f>VLOOKUP($F$42,таблица,31,0)</f>
        <v>0</v>
      </c>
      <c r="D1143" s="380"/>
      <c r="J1143" s="362" t="str">
        <f t="shared" si="146"/>
        <v>Пустая строка (убрать галочку)</v>
      </c>
    </row>
    <row r="1144" spans="1:10" hidden="1">
      <c r="A1144" s="33">
        <v>9</v>
      </c>
      <c r="B1144" s="32" t="s">
        <v>127</v>
      </c>
      <c r="C1144" s="379">
        <f>SUM(C1136:D1143)</f>
        <v>0</v>
      </c>
      <c r="D1144" s="380"/>
      <c r="J1144" s="362" t="str">
        <f t="shared" si="146"/>
        <v>Пустая строка (убрать галочку)</v>
      </c>
    </row>
    <row r="1145" spans="1:10" hidden="1">
      <c r="A1145" s="384" t="s">
        <v>122</v>
      </c>
      <c r="B1145" s="384"/>
      <c r="C1145" s="384"/>
      <c r="D1145" s="384"/>
      <c r="J1145" s="362" t="str">
        <f t="shared" si="146"/>
        <v>Пустая строка (убрать галочку)</v>
      </c>
    </row>
    <row r="1146" spans="1:10" ht="31.5" hidden="1">
      <c r="A1146" s="35" t="s">
        <v>67</v>
      </c>
      <c r="B1146" s="68" t="s">
        <v>21</v>
      </c>
      <c r="C1146" s="68" t="s">
        <v>114</v>
      </c>
      <c r="D1146" s="68" t="s">
        <v>99</v>
      </c>
      <c r="J1146" s="362" t="str">
        <f t="shared" si="146"/>
        <v>Пустая строка (убрать галочку)</v>
      </c>
    </row>
    <row r="1147" spans="1:10" hidden="1">
      <c r="A1147" s="33">
        <v>10</v>
      </c>
      <c r="B1147" s="33" t="e">
        <f>VLOOKUP((VLOOKUP($F$42,таблица,8,0)),рем_содер,2,0)</f>
        <v>#N/A</v>
      </c>
      <c r="C1147" s="33"/>
      <c r="D1147" s="32"/>
      <c r="J1147" s="362" t="str">
        <f t="shared" si="146"/>
        <v>Пустая строка (убрать галочку)</v>
      </c>
    </row>
    <row r="1148" spans="1:10" hidden="1">
      <c r="A1148" s="33">
        <f>IF(D1148=0,0,A1147+1)</f>
        <v>0</v>
      </c>
      <c r="B1148" s="32" t="e">
        <f>CONCATENATE('Анализ стоимости'!$AW$1," г (",CHOOSE(VLOOKUP(F$42,таблица,43,0),"Январь","Февраль","Март","Апрель","Май","Июнь","Июль","Август","Сентябрь","Октябрь","Ноябрь","Декабрь")," - ",CHOOSE(VLOOKUP(F$42,таблица,44,0),"Январь","Февраль","Март","Апрель","Май","Июнь","Июль","Август","Сентябрь","Октябрь","Ноябрь","Декабрь"),")")</f>
        <v>#VALUE!</v>
      </c>
      <c r="C1148" s="33" t="s">
        <v>115</v>
      </c>
      <c r="D1148" s="55">
        <f>IF(D1150=0,0,VLOOKUP($F$42,таблица,49,0)*100+100)</f>
        <v>0</v>
      </c>
      <c r="J1148" s="362" t="str">
        <f>IF(D1148=0,"Пустая строка (убрать галочку)",1)</f>
        <v>Пустая строка (убрать галочку)</v>
      </c>
    </row>
    <row r="1149" spans="1:10" hidden="1">
      <c r="A1149" s="33">
        <f>IF(D1149=0,0,IF(D1148=0,A1147+1,A1148+1))</f>
        <v>0</v>
      </c>
      <c r="B1149" s="32" t="e">
        <f>CONCATENATE('Анализ стоимости'!$AX$1," г (",CHOOSE(VLOOKUP(F$42,таблица,45,0),"Январь","Февраль","Март","Апрель","Май","Июнь","Июль","Август","Сентябрь","Октябрь","Ноябрь","Декабрь")," - ",CHOOSE(VLOOKUP(F$42,таблица,46,0),"Январь","Февраль","Март","Апрель","Май","Июнь","Июль","Август","Сентябрь","Октябрь","Ноябрь","Декабрь"),")")</f>
        <v>#VALUE!</v>
      </c>
      <c r="C1149" s="33" t="s">
        <v>115</v>
      </c>
      <c r="D1149" s="55">
        <f>IF(D1151=0,0,VLOOKUP($F$42,таблица,50,0)*100+100)</f>
        <v>0</v>
      </c>
      <c r="J1149" s="362" t="str">
        <f>IF(D1149=0,"Пустая строка (убрать галочку)",1)</f>
        <v>Пустая строка (убрать галочку)</v>
      </c>
    </row>
    <row r="1150" spans="1:10" hidden="1">
      <c r="A1150" s="33">
        <f>IF(D1150=0,0,IF(D1149=0,A1148+1,A1149+1))</f>
        <v>0</v>
      </c>
      <c r="B1150" s="32" t="str">
        <f>"Рост стоимости "&amp;'Анализ стоимости'!$AW$1&amp;" г."</f>
        <v>Рост стоимости 2018 г.</v>
      </c>
      <c r="C1150" s="33" t="s">
        <v>116</v>
      </c>
      <c r="D1150" s="34">
        <f>VLOOKUP($F$42,таблица,38,0)</f>
        <v>0</v>
      </c>
      <c r="J1150" s="362" t="str">
        <f>IF(D1150=0,"Пустая строка (убрать галочку)",1)</f>
        <v>Пустая строка (убрать галочку)</v>
      </c>
    </row>
    <row r="1151" spans="1:10" hidden="1">
      <c r="A1151" s="33">
        <f>IF(D1151=0,0,IF(D1150=0,A1149+1,A1150+1))</f>
        <v>0</v>
      </c>
      <c r="B1151" s="32" t="str">
        <f>"Рост стоимости "&amp;'Анализ стоимости'!$AX$1&amp;" г."</f>
        <v>Рост стоимости 2019 г.</v>
      </c>
      <c r="C1151" s="33" t="s">
        <v>116</v>
      </c>
      <c r="D1151" s="34">
        <f>VLOOKUP($F$42,таблица,40,0)</f>
        <v>0</v>
      </c>
      <c r="J1151" s="362" t="str">
        <f>IF(D1151=0,"Пустая строка (убрать галочку)",1)</f>
        <v>Пустая строка (убрать галочку)</v>
      </c>
    </row>
    <row r="1152" spans="1:10" hidden="1">
      <c r="A1152" s="384" t="s">
        <v>117</v>
      </c>
      <c r="B1152" s="384"/>
      <c r="C1152" s="384"/>
      <c r="D1152" s="384"/>
      <c r="J1152" s="362" t="str">
        <f>IF($F$42=0,"Пустая строка (убрать галочку)",1)</f>
        <v>Пустая строка (убрать галочку)</v>
      </c>
    </row>
    <row r="1153" spans="1:10" ht="31.5" hidden="1">
      <c r="A1153" s="33">
        <f>IF(D1153=0,0,IF(D1151=0,IF(D1150=0,A1147+1,A1150+1),A1151+1))</f>
        <v>0</v>
      </c>
      <c r="B115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153" s="33" t="s">
        <v>116</v>
      </c>
      <c r="D1153" s="34">
        <f>SUM(VLOOKUP($F$42,таблица,37,0),D1150)</f>
        <v>0</v>
      </c>
      <c r="E1153" s="7"/>
      <c r="J1153" s="362" t="str">
        <f t="shared" ref="J1153:J1159" si="147">IF(D1153=0,"Пустая строка (убрать галочку)",1)</f>
        <v>Пустая строка (убрать галочку)</v>
      </c>
    </row>
    <row r="1154" spans="1:10" hidden="1">
      <c r="A1154" s="33">
        <f>IF(D1154=0,0,A1153+1)</f>
        <v>0</v>
      </c>
      <c r="B1154" s="45" t="s">
        <v>119</v>
      </c>
      <c r="C1154" s="33" t="s">
        <v>116</v>
      </c>
      <c r="D1154" s="34">
        <f>VLOOKUP($F$42,таблица,39,0)</f>
        <v>0</v>
      </c>
      <c r="E1154" s="7"/>
      <c r="J1154" s="362" t="str">
        <f t="shared" si="147"/>
        <v>Пустая строка (убрать галочку)</v>
      </c>
    </row>
    <row r="1155" spans="1:10" hidden="1">
      <c r="A1155" s="33">
        <f>IF(D1155=0,0,A1154+1)</f>
        <v>0</v>
      </c>
      <c r="B1155" s="45" t="str">
        <f>"Всего с НДС на "&amp;'Анализ стоимости'!$AW$1&amp;" г."</f>
        <v>Всего с НДС на 2018 г.</v>
      </c>
      <c r="C1155" s="33" t="s">
        <v>116</v>
      </c>
      <c r="D1155" s="46">
        <f>SUM(D1153:D1154)</f>
        <v>0</v>
      </c>
      <c r="E1155" s="56">
        <f>VLOOKUP($F$42,таблица,51,0)</f>
        <v>0</v>
      </c>
      <c r="J1155" s="362" t="str">
        <f t="shared" si="147"/>
        <v>Пустая строка (убрать галочку)</v>
      </c>
    </row>
    <row r="1156" spans="1:10" ht="31.5" hidden="1">
      <c r="A1156" s="33">
        <f>IF(D1156=0,0,IF(D1155=0,IF(D1151=0,A1147+1,A1151+1),A1155+1))</f>
        <v>0</v>
      </c>
      <c r="B115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156" s="33" t="s">
        <v>116</v>
      </c>
      <c r="D1156" s="34">
        <f>VLOOKUP($F$42,таблица,36,0)-VLOOKUP($F$42,таблица,37,0)+D1151</f>
        <v>0</v>
      </c>
      <c r="J1156" s="362" t="str">
        <f t="shared" si="147"/>
        <v>Пустая строка (убрать галочку)</v>
      </c>
    </row>
    <row r="1157" spans="1:10" hidden="1">
      <c r="A1157" s="33">
        <f>IF(D1157=0,0,A1156+1)</f>
        <v>0</v>
      </c>
      <c r="B1157" s="45" t="s">
        <v>119</v>
      </c>
      <c r="C1157" s="33" t="s">
        <v>116</v>
      </c>
      <c r="D1157" s="34">
        <f>VLOOKUP($F$42,таблица,41,0)</f>
        <v>0</v>
      </c>
      <c r="J1157" s="362" t="str">
        <f t="shared" si="147"/>
        <v>Пустая строка (убрать галочку)</v>
      </c>
    </row>
    <row r="1158" spans="1:10" hidden="1">
      <c r="A1158" s="33">
        <f>IF(D1158=0,0,A1157+1)</f>
        <v>0</v>
      </c>
      <c r="B1158" s="45" t="str">
        <f>"Всего с НДС на "&amp;'Анализ стоимости'!$AX$1&amp;" г."</f>
        <v>Всего с НДС на 2019 г.</v>
      </c>
      <c r="C1158" s="33" t="s">
        <v>116</v>
      </c>
      <c r="D1158" s="46">
        <f>SUM(D1156:D1157)</f>
        <v>0</v>
      </c>
      <c r="E1158" s="56">
        <f>VLOOKUP($F$42,таблица,52,0)</f>
        <v>0</v>
      </c>
      <c r="J1158" s="362" t="str">
        <f t="shared" si="147"/>
        <v>Пустая строка (убрать галочку)</v>
      </c>
    </row>
    <row r="1159" spans="1:10" hidden="1">
      <c r="A1159" s="33">
        <f>IF(D1159=0,0,A1158+1)</f>
        <v>0</v>
      </c>
      <c r="B1159" s="45" t="s">
        <v>118</v>
      </c>
      <c r="C1159" s="33" t="s">
        <v>116</v>
      </c>
      <c r="D1159" s="46">
        <f>IF(OR(D1155=0,D1158=0),0,D1158+D1155)</f>
        <v>0</v>
      </c>
      <c r="E1159" s="56">
        <f>VLOOKUP($F$42,таблица,42,0)</f>
        <v>0</v>
      </c>
      <c r="J1159" s="362" t="str">
        <f t="shared" si="147"/>
        <v>Пустая строка (убрать галочку)</v>
      </c>
    </row>
    <row r="1160" spans="1:10" hidden="1">
      <c r="A1160" s="13"/>
      <c r="B1160" s="13"/>
      <c r="C1160" s="13"/>
      <c r="D1160" s="14"/>
      <c r="J1160" s="362" t="str">
        <f>IF($F$42=0,"Пустая строка (убрать галочку)",1)</f>
        <v>Пустая строка (убрать галочку)</v>
      </c>
    </row>
    <row r="1161" spans="1:10" ht="47.25" hidden="1" customHeight="1">
      <c r="A116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161" s="382"/>
      <c r="C1161" s="67"/>
      <c r="D1161" s="48" t="str">
        <f>'Анализ стоимости'!$I$101</f>
        <v>Шестопал О.Н.</v>
      </c>
      <c r="G1161" s="43" t="str">
        <f>A1161</f>
        <v>Специалист администрации Старонижестеблиевского сельского поселения Красноармейского района</v>
      </c>
      <c r="J1161" s="362" t="str">
        <f>IF($F$42=0,"Пустая строка (убрать галочку)",1)</f>
        <v>Пустая строка (убрать галочку)</v>
      </c>
    </row>
    <row r="1162" spans="1:10" hidden="1">
      <c r="A1162" s="49"/>
      <c r="B1162" s="49"/>
      <c r="C1162" s="49"/>
      <c r="D1162" s="50"/>
      <c r="J1162" s="362" t="str">
        <f>IF($F$42=0,"Пустая строка (убрать галочку)",1)</f>
        <v>Пустая строка (убрать галочку)</v>
      </c>
    </row>
    <row r="1163" spans="1:10" hidden="1">
      <c r="A1163" s="375"/>
      <c r="B1163" s="375"/>
      <c r="C1163" s="3"/>
      <c r="D1163" s="3"/>
      <c r="J1163" s="362" t="str">
        <f>IF($F$42=0,"Пустая строка (убрать галочку)",1)</f>
        <v>Пустая строка (убрать галочку)</v>
      </c>
    </row>
    <row r="1164" spans="1:10" hidden="1">
      <c r="A1164" s="385" t="s">
        <v>177</v>
      </c>
      <c r="B1164" s="385"/>
      <c r="C1164" s="385"/>
      <c r="D1164" s="385"/>
      <c r="G1164" s="37"/>
      <c r="H1164" s="37"/>
      <c r="J1164" s="362" t="str">
        <f t="shared" ref="J1164:J1181" si="148">IF($F$43=0,"Пустая строка (убрать галочку)",1)</f>
        <v>Пустая строка (убрать галочку)</v>
      </c>
    </row>
    <row r="1165" spans="1:10" ht="47.25" hidden="1" customHeight="1">
      <c r="A1165" s="376" t="str">
        <f>CONCATENATE("Наименование объекта: ",VLOOKUP($F$43,таблица,9,0))</f>
        <v xml:space="preserve">Наименование объекта: </v>
      </c>
      <c r="B1165" s="376"/>
      <c r="C1165" s="376"/>
      <c r="D1165" s="376"/>
      <c r="I1165" s="58" t="str">
        <f>A1165</f>
        <v xml:space="preserve">Наименование объекта: </v>
      </c>
      <c r="J1165" s="362" t="str">
        <f t="shared" si="148"/>
        <v>Пустая строка (убрать галочку)</v>
      </c>
    </row>
    <row r="1166" spans="1:10" hidden="1">
      <c r="A1166" s="30"/>
      <c r="B1166" s="25"/>
      <c r="C1166" s="25"/>
      <c r="D1166" s="25"/>
      <c r="J1166" s="362" t="str">
        <f t="shared" si="148"/>
        <v>Пустая строка (убрать галочку)</v>
      </c>
    </row>
    <row r="1167" spans="1:10" hidden="1">
      <c r="A1167" s="29" t="s">
        <v>111</v>
      </c>
      <c r="B1167" s="22"/>
      <c r="C1167" s="22"/>
      <c r="D1167" s="22"/>
      <c r="J1167" s="362" t="str">
        <f t="shared" si="148"/>
        <v>Пустая строка (убрать галочку)</v>
      </c>
    </row>
    <row r="1168" spans="1:10" hidden="1">
      <c r="A1168" s="383" t="s">
        <v>112</v>
      </c>
      <c r="B1168" s="383"/>
      <c r="C1168" s="383"/>
      <c r="D1168" s="383"/>
      <c r="J1168" s="362" t="str">
        <f t="shared" si="148"/>
        <v>Пустая строка (убрать галочку)</v>
      </c>
    </row>
    <row r="1169" spans="1:10" ht="47.25" hidden="1">
      <c r="A1169" s="68" t="s">
        <v>67</v>
      </c>
      <c r="B1169" s="68" t="s">
        <v>98</v>
      </c>
      <c r="C1169" s="377" t="str">
        <f>CONCATENATE("Стоимость  согласно сметной документации (руб.) в текущих ценах по состоянию на ",VLOOKUP($F$43,таблица,5,0)," г.")</f>
        <v>Стоимость  согласно сметной документации (руб.) в текущих ценах по состоянию на  г.</v>
      </c>
      <c r="D1169" s="378"/>
      <c r="H1169" s="44" t="str">
        <f>C1169</f>
        <v>Стоимость  согласно сметной документации (руб.) в текущих ценах по состоянию на  г.</v>
      </c>
      <c r="J1169" s="362" t="str">
        <f t="shared" si="148"/>
        <v>Пустая строка (убрать галочку)</v>
      </c>
    </row>
    <row r="1170" spans="1:10" hidden="1">
      <c r="A1170" s="33">
        <v>1</v>
      </c>
      <c r="B1170" s="32" t="s">
        <v>46</v>
      </c>
      <c r="C1170" s="379">
        <f>VLOOKUP($F$43,таблица,10,0)</f>
        <v>0</v>
      </c>
      <c r="D1170" s="380"/>
      <c r="J1170" s="362" t="str">
        <f t="shared" si="148"/>
        <v>Пустая строка (убрать галочку)</v>
      </c>
    </row>
    <row r="1171" spans="1:10" hidden="1">
      <c r="A1171" s="33">
        <v>2</v>
      </c>
      <c r="B1171" s="32" t="s">
        <v>41</v>
      </c>
      <c r="C1171" s="379">
        <f>VLOOKUP($F$43,таблица,11,0)</f>
        <v>0</v>
      </c>
      <c r="D1171" s="380"/>
      <c r="J1171" s="362" t="str">
        <f t="shared" si="148"/>
        <v>Пустая строка (убрать галочку)</v>
      </c>
    </row>
    <row r="1172" spans="1:10" ht="31.5" hidden="1">
      <c r="A1172" s="33">
        <v>3</v>
      </c>
      <c r="B1172" s="32" t="s">
        <v>3</v>
      </c>
      <c r="C1172" s="379">
        <f>VLOOKUP($F$43,таблица,12,0)</f>
        <v>0</v>
      </c>
      <c r="D1172" s="380"/>
      <c r="J1172" s="362" t="str">
        <f t="shared" si="148"/>
        <v>Пустая строка (убрать галочку)</v>
      </c>
    </row>
    <row r="1173" spans="1:10" hidden="1">
      <c r="A1173" s="33">
        <v>4</v>
      </c>
      <c r="B1173" s="32" t="s">
        <v>42</v>
      </c>
      <c r="C1173" s="379">
        <f>VLOOKUP($F$43,таблица,13,0)</f>
        <v>0</v>
      </c>
      <c r="D1173" s="380"/>
      <c r="J1173" s="362" t="str">
        <f t="shared" si="148"/>
        <v>Пустая строка (убрать галочку)</v>
      </c>
    </row>
    <row r="1174" spans="1:10" hidden="1">
      <c r="A1174" s="33">
        <v>5</v>
      </c>
      <c r="B1174" s="32" t="s">
        <v>5</v>
      </c>
      <c r="C1174" s="379">
        <f>VLOOKUP($F$43,таблица,14,0)</f>
        <v>0</v>
      </c>
      <c r="D1174" s="380"/>
      <c r="J1174" s="362" t="str">
        <f t="shared" si="148"/>
        <v>Пустая строка (убрать галочку)</v>
      </c>
    </row>
    <row r="1175" spans="1:10" hidden="1">
      <c r="A1175" s="33">
        <v>6</v>
      </c>
      <c r="B1175" s="32" t="s">
        <v>12</v>
      </c>
      <c r="C1175" s="379">
        <f>VLOOKUP($F$43,таблица,18,0)</f>
        <v>0</v>
      </c>
      <c r="D1175" s="380"/>
      <c r="J1175" s="362" t="str">
        <f t="shared" si="148"/>
        <v>Пустая строка (убрать галочку)</v>
      </c>
    </row>
    <row r="1176" spans="1:10" hidden="1">
      <c r="A1176" s="33">
        <v>7</v>
      </c>
      <c r="B1176" s="32" t="s">
        <v>88</v>
      </c>
      <c r="C1176" s="379">
        <f>VLOOKUP($F$43,таблица,19,0)+VLOOKUP($F$43,таблица,21,0)+VLOOKUP($F$43,таблица,22,0)+VLOOKUP($F$43,таблица,23,0)+VLOOKUP($F$43,таблица,24,0)+VLOOKUP($F$43,таблица,25,0)+VLOOKUP($F$43,таблица,26,0)</f>
        <v>0</v>
      </c>
      <c r="D1176" s="380"/>
      <c r="J1176" s="362" t="str">
        <f t="shared" si="148"/>
        <v>Пустая строка (убрать галочку)</v>
      </c>
    </row>
    <row r="1177" spans="1:10" hidden="1">
      <c r="A1177" s="33">
        <v>8</v>
      </c>
      <c r="B1177" s="32" t="s">
        <v>62</v>
      </c>
      <c r="C1177" s="379">
        <f>VLOOKUP($F$43,таблица,31,0)</f>
        <v>0</v>
      </c>
      <c r="D1177" s="380"/>
      <c r="J1177" s="362" t="str">
        <f t="shared" si="148"/>
        <v>Пустая строка (убрать галочку)</v>
      </c>
    </row>
    <row r="1178" spans="1:10" hidden="1">
      <c r="A1178" s="33">
        <v>9</v>
      </c>
      <c r="B1178" s="32" t="s">
        <v>127</v>
      </c>
      <c r="C1178" s="379">
        <f>SUM(C1170:D1177)</f>
        <v>0</v>
      </c>
      <c r="D1178" s="380"/>
      <c r="J1178" s="362" t="str">
        <f t="shared" si="148"/>
        <v>Пустая строка (убрать галочку)</v>
      </c>
    </row>
    <row r="1179" spans="1:10" hidden="1">
      <c r="A1179" s="384" t="s">
        <v>122</v>
      </c>
      <c r="B1179" s="384"/>
      <c r="C1179" s="384"/>
      <c r="D1179" s="384"/>
      <c r="J1179" s="362" t="str">
        <f t="shared" si="148"/>
        <v>Пустая строка (убрать галочку)</v>
      </c>
    </row>
    <row r="1180" spans="1:10" ht="31.5" hidden="1">
      <c r="A1180" s="35" t="s">
        <v>67</v>
      </c>
      <c r="B1180" s="68" t="s">
        <v>21</v>
      </c>
      <c r="C1180" s="68" t="s">
        <v>114</v>
      </c>
      <c r="D1180" s="68" t="s">
        <v>99</v>
      </c>
      <c r="J1180" s="362" t="str">
        <f t="shared" si="148"/>
        <v>Пустая строка (убрать галочку)</v>
      </c>
    </row>
    <row r="1181" spans="1:10" hidden="1">
      <c r="A1181" s="33">
        <v>10</v>
      </c>
      <c r="B1181" s="33" t="e">
        <f>VLOOKUP((VLOOKUP($F$43,таблица,8,0)),рем_содер,2,0)</f>
        <v>#N/A</v>
      </c>
      <c r="C1181" s="33"/>
      <c r="D1181" s="32"/>
      <c r="J1181" s="362" t="str">
        <f t="shared" si="148"/>
        <v>Пустая строка (убрать галочку)</v>
      </c>
    </row>
    <row r="1182" spans="1:10" hidden="1">
      <c r="A1182" s="33">
        <f>IF(D1182=0,0,A1181+1)</f>
        <v>0</v>
      </c>
      <c r="B1182" s="32" t="e">
        <f>CONCATENATE('Анализ стоимости'!$AW$1," г (",CHOOSE(VLOOKUP(F$43,таблица,43,0),"Январь","Февраль","Март","Апрель","Май","Июнь","Июль","Август","Сентябрь","Октябрь","Ноябрь","Декабрь")," - ",CHOOSE(VLOOKUP(F$43,таблица,44,0),"Январь","Февраль","Март","Апрель","Май","Июнь","Июль","Август","Сентябрь","Октябрь","Ноябрь","Декабрь"),")")</f>
        <v>#VALUE!</v>
      </c>
      <c r="C1182" s="33" t="s">
        <v>115</v>
      </c>
      <c r="D1182" s="55">
        <f>IF(D1184=0,0,VLOOKUP($F$43,таблица,49,0)*100+100)</f>
        <v>0</v>
      </c>
      <c r="J1182" s="362" t="str">
        <f>IF(D1182=0,"Пустая строка (убрать галочку)",1)</f>
        <v>Пустая строка (убрать галочку)</v>
      </c>
    </row>
    <row r="1183" spans="1:10" hidden="1">
      <c r="A1183" s="33">
        <f>IF(D1183=0,0,IF(D1182=0,A1181+1,A1182+1))</f>
        <v>0</v>
      </c>
      <c r="B1183" s="32" t="e">
        <f>CONCATENATE('Анализ стоимости'!$AX$1," г (",CHOOSE(VLOOKUP(F$43,таблица,45,0),"Январь","Февраль","Март","Апрель","Май","Июнь","Июль","Август","Сентябрь","Октябрь","Ноябрь","Декабрь")," - ",CHOOSE(VLOOKUP(F$43,таблица,46,0),"Январь","Февраль","Март","Апрель","Май","Июнь","Июль","Август","Сентябрь","Октябрь","Ноябрь","Декабрь"),")")</f>
        <v>#VALUE!</v>
      </c>
      <c r="C1183" s="33" t="s">
        <v>115</v>
      </c>
      <c r="D1183" s="55">
        <f>IF(D1185=0,0,VLOOKUP($F$43,таблица,50,0)*100+100)</f>
        <v>0</v>
      </c>
      <c r="J1183" s="362" t="str">
        <f>IF(D1183=0,"Пустая строка (убрать галочку)",1)</f>
        <v>Пустая строка (убрать галочку)</v>
      </c>
    </row>
    <row r="1184" spans="1:10" hidden="1">
      <c r="A1184" s="33">
        <f>IF(D1184=0,0,IF(D1183=0,A1182+1,A1183+1))</f>
        <v>0</v>
      </c>
      <c r="B1184" s="32" t="str">
        <f>"Рост стоимости "&amp;'Анализ стоимости'!$AW$1&amp;" г."</f>
        <v>Рост стоимости 2018 г.</v>
      </c>
      <c r="C1184" s="33" t="s">
        <v>116</v>
      </c>
      <c r="D1184" s="34">
        <f>VLOOKUP($F$43,таблица,38,0)</f>
        <v>0</v>
      </c>
      <c r="J1184" s="362" t="str">
        <f>IF(D1184=0,"Пустая строка (убрать галочку)",1)</f>
        <v>Пустая строка (убрать галочку)</v>
      </c>
    </row>
    <row r="1185" spans="1:10" hidden="1">
      <c r="A1185" s="33">
        <f>IF(D1185=0,0,IF(D1184=0,A1183+1,A1184+1))</f>
        <v>0</v>
      </c>
      <c r="B1185" s="32" t="str">
        <f>"Рост стоимости "&amp;'Анализ стоимости'!$AX$1&amp;" г."</f>
        <v>Рост стоимости 2019 г.</v>
      </c>
      <c r="C1185" s="33" t="s">
        <v>116</v>
      </c>
      <c r="D1185" s="34">
        <f>VLOOKUP($F$43,таблица,40,0)</f>
        <v>0</v>
      </c>
      <c r="J1185" s="362" t="str">
        <f>IF(D1185=0,"Пустая строка (убрать галочку)",1)</f>
        <v>Пустая строка (убрать галочку)</v>
      </c>
    </row>
    <row r="1186" spans="1:10" hidden="1">
      <c r="A1186" s="384" t="s">
        <v>117</v>
      </c>
      <c r="B1186" s="384"/>
      <c r="C1186" s="384"/>
      <c r="D1186" s="384"/>
      <c r="J1186" s="362" t="str">
        <f>IF($F$43=0,"Пустая строка (убрать галочку)",1)</f>
        <v>Пустая строка (убрать галочку)</v>
      </c>
    </row>
    <row r="1187" spans="1:10" ht="31.5" hidden="1">
      <c r="A1187" s="33">
        <f>IF(D1187=0,0,IF(D1185=0,IF(D1184=0,A1181+1,A1184+1),A1185+1))</f>
        <v>0</v>
      </c>
      <c r="B118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187" s="33" t="s">
        <v>116</v>
      </c>
      <c r="D1187" s="34">
        <f>SUM(VLOOKUP($F$43,таблица,37,0),D1184)</f>
        <v>0</v>
      </c>
      <c r="E1187" s="7"/>
      <c r="J1187" s="362" t="str">
        <f t="shared" ref="J1187:J1193" si="149">IF(D1187=0,"Пустая строка (убрать галочку)",1)</f>
        <v>Пустая строка (убрать галочку)</v>
      </c>
    </row>
    <row r="1188" spans="1:10" hidden="1">
      <c r="A1188" s="33">
        <f>IF(D1188=0,0,A1187+1)</f>
        <v>0</v>
      </c>
      <c r="B1188" s="45" t="s">
        <v>119</v>
      </c>
      <c r="C1188" s="33" t="s">
        <v>116</v>
      </c>
      <c r="D1188" s="34">
        <f>VLOOKUP($F$43,таблица,39,0)</f>
        <v>0</v>
      </c>
      <c r="E1188" s="7"/>
      <c r="J1188" s="362" t="str">
        <f t="shared" si="149"/>
        <v>Пустая строка (убрать галочку)</v>
      </c>
    </row>
    <row r="1189" spans="1:10" hidden="1">
      <c r="A1189" s="33">
        <f>IF(D1189=0,0,A1188+1)</f>
        <v>0</v>
      </c>
      <c r="B1189" s="45" t="str">
        <f>"Всего с НДС на "&amp;'Анализ стоимости'!$AW$1&amp;" г."</f>
        <v>Всего с НДС на 2018 г.</v>
      </c>
      <c r="C1189" s="33" t="s">
        <v>116</v>
      </c>
      <c r="D1189" s="46">
        <f>SUM(D1187:D1188)</f>
        <v>0</v>
      </c>
      <c r="E1189" s="56">
        <f>VLOOKUP($F$43,таблица,51,0)</f>
        <v>0</v>
      </c>
      <c r="J1189" s="362" t="str">
        <f t="shared" si="149"/>
        <v>Пустая строка (убрать галочку)</v>
      </c>
    </row>
    <row r="1190" spans="1:10" ht="31.5" hidden="1">
      <c r="A1190" s="33">
        <f>IF(D1190=0,0,IF(D1189=0,IF(D1185=0,A1181+1,A1185+1),A1189+1))</f>
        <v>0</v>
      </c>
      <c r="B119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190" s="33" t="s">
        <v>116</v>
      </c>
      <c r="D1190" s="34">
        <f>VLOOKUP($F$43,таблица,36,0)-VLOOKUP($F$43,таблица,37,0)+D1185</f>
        <v>0</v>
      </c>
      <c r="J1190" s="362" t="str">
        <f t="shared" si="149"/>
        <v>Пустая строка (убрать галочку)</v>
      </c>
    </row>
    <row r="1191" spans="1:10" hidden="1">
      <c r="A1191" s="33">
        <f>IF(D1191=0,0,A1190+1)</f>
        <v>0</v>
      </c>
      <c r="B1191" s="45" t="s">
        <v>119</v>
      </c>
      <c r="C1191" s="33" t="s">
        <v>116</v>
      </c>
      <c r="D1191" s="34">
        <f>VLOOKUP($F$43,таблица,41,0)</f>
        <v>0</v>
      </c>
      <c r="J1191" s="362" t="str">
        <f t="shared" si="149"/>
        <v>Пустая строка (убрать галочку)</v>
      </c>
    </row>
    <row r="1192" spans="1:10" hidden="1">
      <c r="A1192" s="33">
        <f>IF(D1192=0,0,A1191+1)</f>
        <v>0</v>
      </c>
      <c r="B1192" s="45" t="str">
        <f>"Всего с НДС на "&amp;'Анализ стоимости'!$AX$1&amp;" г."</f>
        <v>Всего с НДС на 2019 г.</v>
      </c>
      <c r="C1192" s="33" t="s">
        <v>116</v>
      </c>
      <c r="D1192" s="46">
        <f>SUM(D1190:D1191)</f>
        <v>0</v>
      </c>
      <c r="E1192" s="56">
        <f>VLOOKUP($F$43,таблица,52,0)</f>
        <v>0</v>
      </c>
      <c r="J1192" s="362" t="str">
        <f t="shared" si="149"/>
        <v>Пустая строка (убрать галочку)</v>
      </c>
    </row>
    <row r="1193" spans="1:10" hidden="1">
      <c r="A1193" s="33">
        <f>IF(D1193=0,0,A1192+1)</f>
        <v>0</v>
      </c>
      <c r="B1193" s="45" t="s">
        <v>118</v>
      </c>
      <c r="C1193" s="33" t="s">
        <v>116</v>
      </c>
      <c r="D1193" s="46">
        <f>IF(OR(D1189=0,D1192=0),0,D1192+D1189)</f>
        <v>0</v>
      </c>
      <c r="E1193" s="56">
        <f>VLOOKUP($F$43,таблица,42,0)</f>
        <v>0</v>
      </c>
      <c r="J1193" s="362" t="str">
        <f t="shared" si="149"/>
        <v>Пустая строка (убрать галочку)</v>
      </c>
    </row>
    <row r="1194" spans="1:10" hidden="1">
      <c r="A1194" s="13"/>
      <c r="B1194" s="13"/>
      <c r="C1194" s="13"/>
      <c r="D1194" s="14"/>
      <c r="J1194" s="362" t="str">
        <f>IF($F$43=0,"Пустая строка (убрать галочку)",1)</f>
        <v>Пустая строка (убрать галочку)</v>
      </c>
    </row>
    <row r="1195" spans="1:10" ht="47.25" hidden="1" customHeight="1">
      <c r="A119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195" s="382"/>
      <c r="C1195" s="67"/>
      <c r="D1195" s="48" t="str">
        <f>'Анализ стоимости'!$I$101</f>
        <v>Шестопал О.Н.</v>
      </c>
      <c r="G1195" s="43" t="str">
        <f>A1195</f>
        <v>Специалист администрации Старонижестеблиевского сельского поселения Красноармейского района</v>
      </c>
      <c r="J1195" s="362" t="str">
        <f>IF($F$43=0,"Пустая строка (убрать галочку)",1)</f>
        <v>Пустая строка (убрать галочку)</v>
      </c>
    </row>
    <row r="1196" spans="1:10" hidden="1">
      <c r="A1196" s="49"/>
      <c r="B1196" s="49"/>
      <c r="C1196" s="49"/>
      <c r="D1196" s="50"/>
      <c r="J1196" s="362" t="str">
        <f>IF($F$43=0,"Пустая строка (убрать галочку)",1)</f>
        <v>Пустая строка (убрать галочку)</v>
      </c>
    </row>
    <row r="1197" spans="1:10" hidden="1">
      <c r="A1197" s="375"/>
      <c r="B1197" s="375"/>
      <c r="C1197" s="3"/>
      <c r="D1197" s="3"/>
      <c r="J1197" s="362" t="str">
        <f>IF($F$43=0,"Пустая строка (убрать галочку)",1)</f>
        <v>Пустая строка (убрать галочку)</v>
      </c>
    </row>
    <row r="1198" spans="1:10" hidden="1">
      <c r="A1198" s="385" t="s">
        <v>178</v>
      </c>
      <c r="B1198" s="385"/>
      <c r="C1198" s="385"/>
      <c r="D1198" s="385"/>
      <c r="G1198" s="37"/>
      <c r="H1198" s="37"/>
      <c r="J1198" s="362" t="str">
        <f t="shared" ref="J1198:J1215" si="150">IF($F$44=0,"Пустая строка (убрать галочку)",1)</f>
        <v>Пустая строка (убрать галочку)</v>
      </c>
    </row>
    <row r="1199" spans="1:10" ht="47.25" hidden="1" customHeight="1">
      <c r="A1199" s="376" t="str">
        <f>CONCATENATE("Наименование объекта: ",VLOOKUP($F$44,таблица,9,0))</f>
        <v xml:space="preserve">Наименование объекта: </v>
      </c>
      <c r="B1199" s="376"/>
      <c r="C1199" s="376"/>
      <c r="D1199" s="376"/>
      <c r="I1199" s="58" t="str">
        <f>A1199</f>
        <v xml:space="preserve">Наименование объекта: </v>
      </c>
      <c r="J1199" s="362" t="str">
        <f t="shared" si="150"/>
        <v>Пустая строка (убрать галочку)</v>
      </c>
    </row>
    <row r="1200" spans="1:10" hidden="1">
      <c r="A1200" s="30"/>
      <c r="B1200" s="25"/>
      <c r="C1200" s="25"/>
      <c r="D1200" s="25"/>
      <c r="J1200" s="362" t="str">
        <f t="shared" si="150"/>
        <v>Пустая строка (убрать галочку)</v>
      </c>
    </row>
    <row r="1201" spans="1:10" hidden="1">
      <c r="A1201" s="29" t="s">
        <v>111</v>
      </c>
      <c r="B1201" s="22"/>
      <c r="C1201" s="22"/>
      <c r="D1201" s="22"/>
      <c r="J1201" s="362" t="str">
        <f t="shared" si="150"/>
        <v>Пустая строка (убрать галочку)</v>
      </c>
    </row>
    <row r="1202" spans="1:10" hidden="1">
      <c r="A1202" s="383" t="s">
        <v>112</v>
      </c>
      <c r="B1202" s="383"/>
      <c r="C1202" s="383"/>
      <c r="D1202" s="383"/>
      <c r="J1202" s="362" t="str">
        <f t="shared" si="150"/>
        <v>Пустая строка (убрать галочку)</v>
      </c>
    </row>
    <row r="1203" spans="1:10" ht="47.25" hidden="1">
      <c r="A1203" s="68" t="s">
        <v>67</v>
      </c>
      <c r="B1203" s="68" t="s">
        <v>98</v>
      </c>
      <c r="C1203" s="377" t="str">
        <f>CONCATENATE("Стоимость  согласно сметной документации (руб.) в текущих ценах по состоянию на ",VLOOKUP($F$44,таблица,5,0)," г.")</f>
        <v>Стоимость  согласно сметной документации (руб.) в текущих ценах по состоянию на  г.</v>
      </c>
      <c r="D1203" s="378"/>
      <c r="H1203" s="44" t="str">
        <f>C1203</f>
        <v>Стоимость  согласно сметной документации (руб.) в текущих ценах по состоянию на  г.</v>
      </c>
      <c r="J1203" s="362" t="str">
        <f t="shared" si="150"/>
        <v>Пустая строка (убрать галочку)</v>
      </c>
    </row>
    <row r="1204" spans="1:10" hidden="1">
      <c r="A1204" s="33">
        <v>1</v>
      </c>
      <c r="B1204" s="32" t="s">
        <v>46</v>
      </c>
      <c r="C1204" s="379">
        <f>VLOOKUP($F$44,таблица,10,0)</f>
        <v>0</v>
      </c>
      <c r="D1204" s="380"/>
      <c r="J1204" s="362" t="str">
        <f t="shared" si="150"/>
        <v>Пустая строка (убрать галочку)</v>
      </c>
    </row>
    <row r="1205" spans="1:10" hidden="1">
      <c r="A1205" s="33">
        <v>2</v>
      </c>
      <c r="B1205" s="32" t="s">
        <v>41</v>
      </c>
      <c r="C1205" s="379">
        <f>VLOOKUP($F$44,таблица,11,0)</f>
        <v>0</v>
      </c>
      <c r="D1205" s="380"/>
      <c r="J1205" s="362" t="str">
        <f t="shared" si="150"/>
        <v>Пустая строка (убрать галочку)</v>
      </c>
    </row>
    <row r="1206" spans="1:10" ht="31.5" hidden="1">
      <c r="A1206" s="33">
        <v>3</v>
      </c>
      <c r="B1206" s="32" t="s">
        <v>3</v>
      </c>
      <c r="C1206" s="379">
        <f>VLOOKUP($F$44,таблица,12,0)</f>
        <v>0</v>
      </c>
      <c r="D1206" s="380"/>
      <c r="J1206" s="362" t="str">
        <f t="shared" si="150"/>
        <v>Пустая строка (убрать галочку)</v>
      </c>
    </row>
    <row r="1207" spans="1:10" hidden="1">
      <c r="A1207" s="33">
        <v>4</v>
      </c>
      <c r="B1207" s="32" t="s">
        <v>42</v>
      </c>
      <c r="C1207" s="379">
        <f>VLOOKUP($F$44,таблица,13,0)</f>
        <v>0</v>
      </c>
      <c r="D1207" s="380"/>
      <c r="J1207" s="362" t="str">
        <f t="shared" si="150"/>
        <v>Пустая строка (убрать галочку)</v>
      </c>
    </row>
    <row r="1208" spans="1:10" hidden="1">
      <c r="A1208" s="33">
        <v>5</v>
      </c>
      <c r="B1208" s="32" t="s">
        <v>5</v>
      </c>
      <c r="C1208" s="379">
        <f>VLOOKUP($F$44,таблица,14,0)</f>
        <v>0</v>
      </c>
      <c r="D1208" s="380"/>
      <c r="J1208" s="362" t="str">
        <f t="shared" si="150"/>
        <v>Пустая строка (убрать галочку)</v>
      </c>
    </row>
    <row r="1209" spans="1:10" hidden="1">
      <c r="A1209" s="33">
        <v>6</v>
      </c>
      <c r="B1209" s="32" t="s">
        <v>12</v>
      </c>
      <c r="C1209" s="379">
        <f>VLOOKUP($F$44,таблица,18,0)</f>
        <v>0</v>
      </c>
      <c r="D1209" s="380"/>
      <c r="J1209" s="362" t="str">
        <f t="shared" si="150"/>
        <v>Пустая строка (убрать галочку)</v>
      </c>
    </row>
    <row r="1210" spans="1:10" hidden="1">
      <c r="A1210" s="33">
        <v>7</v>
      </c>
      <c r="B1210" s="32" t="s">
        <v>88</v>
      </c>
      <c r="C1210" s="379">
        <f>VLOOKUP($F$44,таблица,19,0)+VLOOKUP($F$44,таблица,21,0)+VLOOKUP($F$44,таблица,22,0)+VLOOKUP($F$44,таблица,23,0)+VLOOKUP($F$44,таблица,24,0)+VLOOKUP($F$44,таблица,25,0)+VLOOKUP($F$44,таблица,26,0)</f>
        <v>0</v>
      </c>
      <c r="D1210" s="380"/>
      <c r="J1210" s="362" t="str">
        <f t="shared" si="150"/>
        <v>Пустая строка (убрать галочку)</v>
      </c>
    </row>
    <row r="1211" spans="1:10" hidden="1">
      <c r="A1211" s="33">
        <v>8</v>
      </c>
      <c r="B1211" s="32" t="s">
        <v>62</v>
      </c>
      <c r="C1211" s="379">
        <f>VLOOKUP($F$44,таблица,31,0)</f>
        <v>0</v>
      </c>
      <c r="D1211" s="380"/>
      <c r="J1211" s="362" t="str">
        <f t="shared" si="150"/>
        <v>Пустая строка (убрать галочку)</v>
      </c>
    </row>
    <row r="1212" spans="1:10" hidden="1">
      <c r="A1212" s="33">
        <v>9</v>
      </c>
      <c r="B1212" s="32" t="s">
        <v>127</v>
      </c>
      <c r="C1212" s="379">
        <f>SUM(C1204:D1211)</f>
        <v>0</v>
      </c>
      <c r="D1212" s="380"/>
      <c r="J1212" s="362" t="str">
        <f t="shared" si="150"/>
        <v>Пустая строка (убрать галочку)</v>
      </c>
    </row>
    <row r="1213" spans="1:10" hidden="1">
      <c r="A1213" s="384" t="s">
        <v>122</v>
      </c>
      <c r="B1213" s="384"/>
      <c r="C1213" s="384"/>
      <c r="D1213" s="384"/>
      <c r="J1213" s="362" t="str">
        <f t="shared" si="150"/>
        <v>Пустая строка (убрать галочку)</v>
      </c>
    </row>
    <row r="1214" spans="1:10" ht="31.5" hidden="1">
      <c r="A1214" s="35" t="s">
        <v>67</v>
      </c>
      <c r="B1214" s="68" t="s">
        <v>21</v>
      </c>
      <c r="C1214" s="68" t="s">
        <v>114</v>
      </c>
      <c r="D1214" s="68" t="s">
        <v>99</v>
      </c>
      <c r="J1214" s="362" t="str">
        <f t="shared" si="150"/>
        <v>Пустая строка (убрать галочку)</v>
      </c>
    </row>
    <row r="1215" spans="1:10" hidden="1">
      <c r="A1215" s="33">
        <v>10</v>
      </c>
      <c r="B1215" s="33" t="e">
        <f>VLOOKUP((VLOOKUP($F$44,таблица,8,0)),рем_содер,2,0)</f>
        <v>#N/A</v>
      </c>
      <c r="C1215" s="33"/>
      <c r="D1215" s="32"/>
      <c r="J1215" s="362" t="str">
        <f t="shared" si="150"/>
        <v>Пустая строка (убрать галочку)</v>
      </c>
    </row>
    <row r="1216" spans="1:10" hidden="1">
      <c r="A1216" s="33">
        <f>IF(D1216=0,0,A1215+1)</f>
        <v>0</v>
      </c>
      <c r="B1216" s="32" t="e">
        <f>CONCATENATE('Анализ стоимости'!$AW$1," г (",CHOOSE(VLOOKUP(F$44,таблица,43,0),"Январь","Февраль","Март","Апрель","Май","Июнь","Июль","Август","Сентябрь","Октябрь","Ноябрь","Декабрь")," - ",CHOOSE(VLOOKUP(F$44,таблица,44,0),"Январь","Февраль","Март","Апрель","Май","Июнь","Июль","Август","Сентябрь","Октябрь","Ноябрь","Декабрь"),")")</f>
        <v>#VALUE!</v>
      </c>
      <c r="C1216" s="33" t="s">
        <v>115</v>
      </c>
      <c r="D1216" s="55">
        <f>IF(D1218=0,0,VLOOKUP($F$44,таблица,49,0)*100+100)</f>
        <v>0</v>
      </c>
      <c r="J1216" s="362" t="str">
        <f>IF(D1216=0,"Пустая строка (убрать галочку)",1)</f>
        <v>Пустая строка (убрать галочку)</v>
      </c>
    </row>
    <row r="1217" spans="1:10" hidden="1">
      <c r="A1217" s="33">
        <f>IF(D1217=0,0,IF(D1216=0,A1215+1,A1216+1))</f>
        <v>0</v>
      </c>
      <c r="B1217" s="32" t="e">
        <f>CONCATENATE('Анализ стоимости'!$AX$1," г (",CHOOSE(VLOOKUP(F$44,таблица,45,0),"Январь","Февраль","Март","Апрель","Май","Июнь","Июль","Август","Сентябрь","Октябрь","Ноябрь","Декабрь")," - ",CHOOSE(VLOOKUP(F$44,таблица,46,0),"Январь","Февраль","Март","Апрель","Май","Июнь","Июль","Август","Сентябрь","Октябрь","Ноябрь","Декабрь"),")")</f>
        <v>#VALUE!</v>
      </c>
      <c r="C1217" s="33" t="s">
        <v>115</v>
      </c>
      <c r="D1217" s="55">
        <f>IF(D1219=0,0,VLOOKUP($F$44,таблица,50,0)*100+100)</f>
        <v>0</v>
      </c>
      <c r="J1217" s="362" t="str">
        <f>IF(D1217=0,"Пустая строка (убрать галочку)",1)</f>
        <v>Пустая строка (убрать галочку)</v>
      </c>
    </row>
    <row r="1218" spans="1:10" hidden="1">
      <c r="A1218" s="33">
        <f>IF(D1218=0,0,IF(D1217=0,A1216+1,A1217+1))</f>
        <v>0</v>
      </c>
      <c r="B1218" s="32" t="str">
        <f>"Рост стоимости "&amp;'Анализ стоимости'!$AW$1&amp;" г."</f>
        <v>Рост стоимости 2018 г.</v>
      </c>
      <c r="C1218" s="33" t="s">
        <v>116</v>
      </c>
      <c r="D1218" s="34">
        <f>VLOOKUP($F$44,таблица,38,0)</f>
        <v>0</v>
      </c>
      <c r="J1218" s="362" t="str">
        <f>IF(D1218=0,"Пустая строка (убрать галочку)",1)</f>
        <v>Пустая строка (убрать галочку)</v>
      </c>
    </row>
    <row r="1219" spans="1:10" hidden="1">
      <c r="A1219" s="33">
        <f>IF(D1219=0,0,IF(D1218=0,A1217+1,A1218+1))</f>
        <v>0</v>
      </c>
      <c r="B1219" s="32" t="str">
        <f>"Рост стоимости "&amp;'Анализ стоимости'!$AX$1&amp;" г."</f>
        <v>Рост стоимости 2019 г.</v>
      </c>
      <c r="C1219" s="33" t="s">
        <v>116</v>
      </c>
      <c r="D1219" s="34">
        <f>VLOOKUP($F$44,таблица,40,0)</f>
        <v>0</v>
      </c>
      <c r="J1219" s="362" t="str">
        <f>IF(D1219=0,"Пустая строка (убрать галочку)",1)</f>
        <v>Пустая строка (убрать галочку)</v>
      </c>
    </row>
    <row r="1220" spans="1:10" hidden="1">
      <c r="A1220" s="384" t="s">
        <v>117</v>
      </c>
      <c r="B1220" s="384"/>
      <c r="C1220" s="384"/>
      <c r="D1220" s="384"/>
      <c r="J1220" s="362" t="str">
        <f>IF($F$44=0,"Пустая строка (убрать галочку)",1)</f>
        <v>Пустая строка (убрать галочку)</v>
      </c>
    </row>
    <row r="1221" spans="1:10" ht="31.5" hidden="1">
      <c r="A1221" s="33">
        <f>IF(D1221=0,0,IF(D1219=0,IF(D1218=0,A1215+1,A1218+1),A1219+1))</f>
        <v>0</v>
      </c>
      <c r="B122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221" s="33" t="s">
        <v>116</v>
      </c>
      <c r="D1221" s="34">
        <f>SUM(VLOOKUP($F$44,таблица,37,0),D1218)</f>
        <v>0</v>
      </c>
      <c r="E1221" s="7"/>
      <c r="J1221" s="362" t="str">
        <f t="shared" ref="J1221:J1227" si="151">IF(D1221=0,"Пустая строка (убрать галочку)",1)</f>
        <v>Пустая строка (убрать галочку)</v>
      </c>
    </row>
    <row r="1222" spans="1:10" hidden="1">
      <c r="A1222" s="33">
        <f>IF(D1222=0,0,A1221+1)</f>
        <v>0</v>
      </c>
      <c r="B1222" s="45" t="s">
        <v>119</v>
      </c>
      <c r="C1222" s="33" t="s">
        <v>116</v>
      </c>
      <c r="D1222" s="34">
        <f>VLOOKUP($F$44,таблица,39,0)</f>
        <v>0</v>
      </c>
      <c r="E1222" s="7"/>
      <c r="J1222" s="362" t="str">
        <f t="shared" si="151"/>
        <v>Пустая строка (убрать галочку)</v>
      </c>
    </row>
    <row r="1223" spans="1:10" hidden="1">
      <c r="A1223" s="33">
        <f>IF(D1223=0,0,A1222+1)</f>
        <v>0</v>
      </c>
      <c r="B1223" s="45" t="str">
        <f>"Всего с НДС на "&amp;'Анализ стоимости'!$AW$1&amp;" г."</f>
        <v>Всего с НДС на 2018 г.</v>
      </c>
      <c r="C1223" s="33" t="s">
        <v>116</v>
      </c>
      <c r="D1223" s="46">
        <f>SUM(D1221:D1222)</f>
        <v>0</v>
      </c>
      <c r="E1223" s="56">
        <f>VLOOKUP($F$44,таблица,51,0)</f>
        <v>0</v>
      </c>
      <c r="J1223" s="362" t="str">
        <f t="shared" si="151"/>
        <v>Пустая строка (убрать галочку)</v>
      </c>
    </row>
    <row r="1224" spans="1:10" ht="31.5" hidden="1">
      <c r="A1224" s="33">
        <f>IF(D1224=0,0,IF(D1223=0,IF(D1219=0,A1215+1,A1219+1),A1223+1))</f>
        <v>0</v>
      </c>
      <c r="B122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224" s="33" t="s">
        <v>116</v>
      </c>
      <c r="D1224" s="34">
        <f>VLOOKUP($F$44,таблица,36,0)-VLOOKUP($F$44,таблица,37,0)+D1219</f>
        <v>0</v>
      </c>
      <c r="J1224" s="362" t="str">
        <f t="shared" si="151"/>
        <v>Пустая строка (убрать галочку)</v>
      </c>
    </row>
    <row r="1225" spans="1:10" hidden="1">
      <c r="A1225" s="33">
        <f>IF(D1225=0,0,A1224+1)</f>
        <v>0</v>
      </c>
      <c r="B1225" s="45" t="s">
        <v>119</v>
      </c>
      <c r="C1225" s="33" t="s">
        <v>116</v>
      </c>
      <c r="D1225" s="34">
        <f>VLOOKUP($F$44,таблица,41,0)</f>
        <v>0</v>
      </c>
      <c r="J1225" s="362" t="str">
        <f t="shared" si="151"/>
        <v>Пустая строка (убрать галочку)</v>
      </c>
    </row>
    <row r="1226" spans="1:10" hidden="1">
      <c r="A1226" s="33">
        <f>IF(D1226=0,0,A1225+1)</f>
        <v>0</v>
      </c>
      <c r="B1226" s="45" t="str">
        <f>"Всего с НДС на "&amp;'Анализ стоимости'!$AX$1&amp;" г."</f>
        <v>Всего с НДС на 2019 г.</v>
      </c>
      <c r="C1226" s="33" t="s">
        <v>116</v>
      </c>
      <c r="D1226" s="46">
        <f>SUM(D1224:D1225)</f>
        <v>0</v>
      </c>
      <c r="E1226" s="56">
        <f>VLOOKUP($F$44,таблица,52,0)</f>
        <v>0</v>
      </c>
      <c r="J1226" s="362" t="str">
        <f t="shared" si="151"/>
        <v>Пустая строка (убрать галочку)</v>
      </c>
    </row>
    <row r="1227" spans="1:10" hidden="1">
      <c r="A1227" s="33">
        <f>IF(D1227=0,0,A1226+1)</f>
        <v>0</v>
      </c>
      <c r="B1227" s="45" t="s">
        <v>118</v>
      </c>
      <c r="C1227" s="33" t="s">
        <v>116</v>
      </c>
      <c r="D1227" s="46">
        <f>IF(OR(D1223=0,D1226=0),0,D1226+D1223)</f>
        <v>0</v>
      </c>
      <c r="E1227" s="56">
        <f>VLOOKUP($F$44,таблица,42,0)</f>
        <v>0</v>
      </c>
      <c r="J1227" s="362" t="str">
        <f t="shared" si="151"/>
        <v>Пустая строка (убрать галочку)</v>
      </c>
    </row>
    <row r="1228" spans="1:10" hidden="1">
      <c r="A1228" s="13"/>
      <c r="B1228" s="13"/>
      <c r="C1228" s="13"/>
      <c r="D1228" s="14"/>
      <c r="J1228" s="362" t="str">
        <f>IF($F$44=0,"Пустая строка (убрать галочку)",1)</f>
        <v>Пустая строка (убрать галочку)</v>
      </c>
    </row>
    <row r="1229" spans="1:10" ht="47.25" hidden="1" customHeight="1">
      <c r="A122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229" s="382"/>
      <c r="C1229" s="67"/>
      <c r="D1229" s="48" t="str">
        <f>'Анализ стоимости'!$I$101</f>
        <v>Шестопал О.Н.</v>
      </c>
      <c r="G1229" s="43" t="str">
        <f>A1229</f>
        <v>Специалист администрации Старонижестеблиевского сельского поселения Красноармейского района</v>
      </c>
      <c r="J1229" s="362" t="str">
        <f>IF($F$44=0,"Пустая строка (убрать галочку)",1)</f>
        <v>Пустая строка (убрать галочку)</v>
      </c>
    </row>
    <row r="1230" spans="1:10" hidden="1">
      <c r="A1230" s="49"/>
      <c r="B1230" s="49"/>
      <c r="C1230" s="49"/>
      <c r="D1230" s="50"/>
      <c r="J1230" s="362" t="str">
        <f>IF($F$44=0,"Пустая строка (убрать галочку)",1)</f>
        <v>Пустая строка (убрать галочку)</v>
      </c>
    </row>
    <row r="1231" spans="1:10" hidden="1">
      <c r="A1231" s="375"/>
      <c r="B1231" s="375"/>
      <c r="C1231" s="3"/>
      <c r="D1231" s="3"/>
      <c r="J1231" s="362" t="str">
        <f>IF($F$44=0,"Пустая строка (убрать галочку)",1)</f>
        <v>Пустая строка (убрать галочку)</v>
      </c>
    </row>
    <row r="1232" spans="1:10" hidden="1">
      <c r="A1232" s="385" t="s">
        <v>179</v>
      </c>
      <c r="B1232" s="385"/>
      <c r="C1232" s="385"/>
      <c r="D1232" s="385"/>
      <c r="G1232" s="37"/>
      <c r="H1232" s="37"/>
      <c r="J1232" s="362" t="str">
        <f t="shared" ref="J1232:J1249" si="152">IF($F$45=0,"Пустая строка (убрать галочку)",1)</f>
        <v>Пустая строка (убрать галочку)</v>
      </c>
    </row>
    <row r="1233" spans="1:10" ht="47.25" hidden="1" customHeight="1">
      <c r="A1233" s="376" t="str">
        <f>CONCATENATE("Наименование объекта: ",VLOOKUP($F$45,таблица,9,0))</f>
        <v xml:space="preserve">Наименование объекта: </v>
      </c>
      <c r="B1233" s="376"/>
      <c r="C1233" s="376"/>
      <c r="D1233" s="376"/>
      <c r="I1233" s="58" t="str">
        <f>A1233</f>
        <v xml:space="preserve">Наименование объекта: </v>
      </c>
      <c r="J1233" s="362" t="str">
        <f t="shared" si="152"/>
        <v>Пустая строка (убрать галочку)</v>
      </c>
    </row>
    <row r="1234" spans="1:10" hidden="1">
      <c r="A1234" s="30"/>
      <c r="B1234" s="25"/>
      <c r="C1234" s="25"/>
      <c r="D1234" s="25"/>
      <c r="J1234" s="362" t="str">
        <f t="shared" si="152"/>
        <v>Пустая строка (убрать галочку)</v>
      </c>
    </row>
    <row r="1235" spans="1:10" hidden="1">
      <c r="A1235" s="29" t="s">
        <v>111</v>
      </c>
      <c r="B1235" s="22"/>
      <c r="C1235" s="22"/>
      <c r="D1235" s="22"/>
      <c r="J1235" s="362" t="str">
        <f t="shared" si="152"/>
        <v>Пустая строка (убрать галочку)</v>
      </c>
    </row>
    <row r="1236" spans="1:10" hidden="1">
      <c r="A1236" s="383" t="s">
        <v>112</v>
      </c>
      <c r="B1236" s="383"/>
      <c r="C1236" s="383"/>
      <c r="D1236" s="383"/>
      <c r="J1236" s="362" t="str">
        <f t="shared" si="152"/>
        <v>Пустая строка (убрать галочку)</v>
      </c>
    </row>
    <row r="1237" spans="1:10" ht="47.25" hidden="1">
      <c r="A1237" s="68" t="s">
        <v>67</v>
      </c>
      <c r="B1237" s="68" t="s">
        <v>98</v>
      </c>
      <c r="C1237" s="377" t="str">
        <f>CONCATENATE("Стоимость  согласно сметной документации (руб.) в текущих ценах по состоянию на ",VLOOKUP($F$45,таблица,5,0)," г.")</f>
        <v>Стоимость  согласно сметной документации (руб.) в текущих ценах по состоянию на  г.</v>
      </c>
      <c r="D1237" s="378"/>
      <c r="H1237" s="44" t="str">
        <f>C1237</f>
        <v>Стоимость  согласно сметной документации (руб.) в текущих ценах по состоянию на  г.</v>
      </c>
      <c r="J1237" s="362" t="str">
        <f t="shared" si="152"/>
        <v>Пустая строка (убрать галочку)</v>
      </c>
    </row>
    <row r="1238" spans="1:10" hidden="1">
      <c r="A1238" s="33">
        <v>1</v>
      </c>
      <c r="B1238" s="32" t="s">
        <v>46</v>
      </c>
      <c r="C1238" s="379">
        <f>VLOOKUP($F$45,таблица,10,0)</f>
        <v>0</v>
      </c>
      <c r="D1238" s="380"/>
      <c r="J1238" s="362" t="str">
        <f t="shared" si="152"/>
        <v>Пустая строка (убрать галочку)</v>
      </c>
    </row>
    <row r="1239" spans="1:10" hidden="1">
      <c r="A1239" s="33">
        <v>2</v>
      </c>
      <c r="B1239" s="32" t="s">
        <v>41</v>
      </c>
      <c r="C1239" s="379">
        <f>VLOOKUP($F$45,таблица,11,0)</f>
        <v>0</v>
      </c>
      <c r="D1239" s="380"/>
      <c r="J1239" s="362" t="str">
        <f t="shared" si="152"/>
        <v>Пустая строка (убрать галочку)</v>
      </c>
    </row>
    <row r="1240" spans="1:10" ht="31.5" hidden="1">
      <c r="A1240" s="33">
        <v>3</v>
      </c>
      <c r="B1240" s="32" t="s">
        <v>3</v>
      </c>
      <c r="C1240" s="379">
        <f>VLOOKUP($F$45,таблица,12,0)</f>
        <v>0</v>
      </c>
      <c r="D1240" s="380"/>
      <c r="J1240" s="362" t="str">
        <f t="shared" si="152"/>
        <v>Пустая строка (убрать галочку)</v>
      </c>
    </row>
    <row r="1241" spans="1:10" hidden="1">
      <c r="A1241" s="33">
        <v>4</v>
      </c>
      <c r="B1241" s="32" t="s">
        <v>42</v>
      </c>
      <c r="C1241" s="379">
        <f>VLOOKUP($F$45,таблица,13,0)</f>
        <v>0</v>
      </c>
      <c r="D1241" s="380"/>
      <c r="J1241" s="362" t="str">
        <f t="shared" si="152"/>
        <v>Пустая строка (убрать галочку)</v>
      </c>
    </row>
    <row r="1242" spans="1:10" hidden="1">
      <c r="A1242" s="33">
        <v>5</v>
      </c>
      <c r="B1242" s="32" t="s">
        <v>5</v>
      </c>
      <c r="C1242" s="379">
        <f>VLOOKUP($F$45,таблица,14,0)</f>
        <v>0</v>
      </c>
      <c r="D1242" s="380"/>
      <c r="J1242" s="362" t="str">
        <f t="shared" si="152"/>
        <v>Пустая строка (убрать галочку)</v>
      </c>
    </row>
    <row r="1243" spans="1:10" hidden="1">
      <c r="A1243" s="33">
        <v>6</v>
      </c>
      <c r="B1243" s="32" t="s">
        <v>12</v>
      </c>
      <c r="C1243" s="379">
        <f>VLOOKUP($F$45,таблица,18,0)</f>
        <v>0</v>
      </c>
      <c r="D1243" s="380"/>
      <c r="J1243" s="362" t="str">
        <f t="shared" si="152"/>
        <v>Пустая строка (убрать галочку)</v>
      </c>
    </row>
    <row r="1244" spans="1:10" hidden="1">
      <c r="A1244" s="33">
        <v>7</v>
      </c>
      <c r="B1244" s="32" t="s">
        <v>88</v>
      </c>
      <c r="C1244" s="379">
        <f>VLOOKUP($F$45,таблица,19,0)+VLOOKUP($F$45,таблица,21,0)+VLOOKUP($F$45,таблица,22,0)+VLOOKUP($F$45,таблица,23,0)+VLOOKUP($F$45,таблица,24,0)+VLOOKUP($F$45,таблица,25,0)+VLOOKUP($F$45,таблица,26,0)</f>
        <v>0</v>
      </c>
      <c r="D1244" s="380"/>
      <c r="J1244" s="362" t="str">
        <f t="shared" si="152"/>
        <v>Пустая строка (убрать галочку)</v>
      </c>
    </row>
    <row r="1245" spans="1:10" hidden="1">
      <c r="A1245" s="33">
        <v>8</v>
      </c>
      <c r="B1245" s="32" t="s">
        <v>62</v>
      </c>
      <c r="C1245" s="379">
        <f>VLOOKUP($F$45,таблица,31,0)</f>
        <v>0</v>
      </c>
      <c r="D1245" s="380"/>
      <c r="J1245" s="362" t="str">
        <f t="shared" si="152"/>
        <v>Пустая строка (убрать галочку)</v>
      </c>
    </row>
    <row r="1246" spans="1:10" hidden="1">
      <c r="A1246" s="33">
        <v>9</v>
      </c>
      <c r="B1246" s="32" t="s">
        <v>127</v>
      </c>
      <c r="C1246" s="379">
        <f>SUM(C1238:D1245)</f>
        <v>0</v>
      </c>
      <c r="D1246" s="380"/>
      <c r="J1246" s="362" t="str">
        <f t="shared" si="152"/>
        <v>Пустая строка (убрать галочку)</v>
      </c>
    </row>
    <row r="1247" spans="1:10" hidden="1">
      <c r="A1247" s="384" t="s">
        <v>122</v>
      </c>
      <c r="B1247" s="384"/>
      <c r="C1247" s="384"/>
      <c r="D1247" s="384"/>
      <c r="J1247" s="362" t="str">
        <f t="shared" si="152"/>
        <v>Пустая строка (убрать галочку)</v>
      </c>
    </row>
    <row r="1248" spans="1:10" ht="31.5" hidden="1">
      <c r="A1248" s="35" t="s">
        <v>67</v>
      </c>
      <c r="B1248" s="68" t="s">
        <v>21</v>
      </c>
      <c r="C1248" s="68" t="s">
        <v>114</v>
      </c>
      <c r="D1248" s="68" t="s">
        <v>99</v>
      </c>
      <c r="J1248" s="362" t="str">
        <f t="shared" si="152"/>
        <v>Пустая строка (убрать галочку)</v>
      </c>
    </row>
    <row r="1249" spans="1:10" hidden="1">
      <c r="A1249" s="33">
        <v>10</v>
      </c>
      <c r="B1249" s="33" t="e">
        <f>VLOOKUP((VLOOKUP($F$45,таблица,8,0)),рем_содер,2,0)</f>
        <v>#N/A</v>
      </c>
      <c r="C1249" s="33"/>
      <c r="D1249" s="32"/>
      <c r="J1249" s="362" t="str">
        <f t="shared" si="152"/>
        <v>Пустая строка (убрать галочку)</v>
      </c>
    </row>
    <row r="1250" spans="1:10" hidden="1">
      <c r="A1250" s="33">
        <f>IF(D1250=0,0,A1249+1)</f>
        <v>0</v>
      </c>
      <c r="B1250" s="32" t="e">
        <f>CONCATENATE('Анализ стоимости'!$AW$1," г (",CHOOSE(VLOOKUP(F$45,таблица,43,0),"Январь","Февраль","Март","Апрель","Май","Июнь","Июль","Август","Сентябрь","Октябрь","Ноябрь","Декабрь")," - ",CHOOSE(VLOOKUP(F$45,таблица,44,0),"Январь","Февраль","Март","Апрель","Май","Июнь","Июль","Август","Сентябрь","Октябрь","Ноябрь","Декабрь"),")")</f>
        <v>#VALUE!</v>
      </c>
      <c r="C1250" s="33" t="s">
        <v>115</v>
      </c>
      <c r="D1250" s="55">
        <f>IF(D1252=0,0,VLOOKUP($F$45,таблица,49,0)*100+100)</f>
        <v>0</v>
      </c>
      <c r="J1250" s="362" t="str">
        <f>IF(D1250=0,"Пустая строка (убрать галочку)",1)</f>
        <v>Пустая строка (убрать галочку)</v>
      </c>
    </row>
    <row r="1251" spans="1:10" hidden="1">
      <c r="A1251" s="33">
        <f>IF(D1251=0,0,IF(D1250=0,A1249+1,A1250+1))</f>
        <v>0</v>
      </c>
      <c r="B1251" s="32" t="e">
        <f>CONCATENATE('Анализ стоимости'!$AX$1," г (",CHOOSE(VLOOKUP(F$45,таблица,45,0),"Январь","Февраль","Март","Апрель","Май","Июнь","Июль","Август","Сентябрь","Октябрь","Ноябрь","Декабрь")," - ",CHOOSE(VLOOKUP(F$45,таблица,46,0),"Январь","Февраль","Март","Апрель","Май","Июнь","Июль","Август","Сентябрь","Октябрь","Ноябрь","Декабрь"),")")</f>
        <v>#VALUE!</v>
      </c>
      <c r="C1251" s="33" t="s">
        <v>115</v>
      </c>
      <c r="D1251" s="55">
        <f>IF(D1253=0,0,VLOOKUP($F$45,таблица,50,0)*100+100)</f>
        <v>0</v>
      </c>
      <c r="J1251" s="362" t="str">
        <f>IF(D1251=0,"Пустая строка (убрать галочку)",1)</f>
        <v>Пустая строка (убрать галочку)</v>
      </c>
    </row>
    <row r="1252" spans="1:10" hidden="1">
      <c r="A1252" s="33">
        <f>IF(D1252=0,0,IF(D1251=0,A1250+1,A1251+1))</f>
        <v>0</v>
      </c>
      <c r="B1252" s="32" t="str">
        <f>"Рост стоимости "&amp;'Анализ стоимости'!$AW$1&amp;" г."</f>
        <v>Рост стоимости 2018 г.</v>
      </c>
      <c r="C1252" s="33" t="s">
        <v>116</v>
      </c>
      <c r="D1252" s="34">
        <f>VLOOKUP($F$45,таблица,38,0)</f>
        <v>0</v>
      </c>
      <c r="J1252" s="362" t="str">
        <f>IF(D1252=0,"Пустая строка (убрать галочку)",1)</f>
        <v>Пустая строка (убрать галочку)</v>
      </c>
    </row>
    <row r="1253" spans="1:10" hidden="1">
      <c r="A1253" s="33">
        <f>IF(D1253=0,0,IF(D1252=0,A1251+1,A1252+1))</f>
        <v>0</v>
      </c>
      <c r="B1253" s="32" t="str">
        <f>"Рост стоимости "&amp;'Анализ стоимости'!$AX$1&amp;" г."</f>
        <v>Рост стоимости 2019 г.</v>
      </c>
      <c r="C1253" s="33" t="s">
        <v>116</v>
      </c>
      <c r="D1253" s="34">
        <f>VLOOKUP($F$45,таблица,40,0)</f>
        <v>0</v>
      </c>
      <c r="J1253" s="362" t="str">
        <f>IF(D1253=0,"Пустая строка (убрать галочку)",1)</f>
        <v>Пустая строка (убрать галочку)</v>
      </c>
    </row>
    <row r="1254" spans="1:10" hidden="1">
      <c r="A1254" s="384" t="s">
        <v>117</v>
      </c>
      <c r="B1254" s="384"/>
      <c r="C1254" s="384"/>
      <c r="D1254" s="384"/>
      <c r="J1254" s="362" t="str">
        <f>IF($F$45=0,"Пустая строка (убрать галочку)",1)</f>
        <v>Пустая строка (убрать галочку)</v>
      </c>
    </row>
    <row r="1255" spans="1:10" ht="31.5" hidden="1">
      <c r="A1255" s="33">
        <f>IF(D1255=0,0,IF(D1253=0,IF(D1252=0,A1249+1,A1252+1),A1253+1))</f>
        <v>0</v>
      </c>
      <c r="B125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255" s="33" t="s">
        <v>116</v>
      </c>
      <c r="D1255" s="34">
        <f>SUM(VLOOKUP($F$45,таблица,37,0),D1252)</f>
        <v>0</v>
      </c>
      <c r="E1255" s="7"/>
      <c r="J1255" s="362" t="str">
        <f t="shared" ref="J1255:J1261" si="153">IF(D1255=0,"Пустая строка (убрать галочку)",1)</f>
        <v>Пустая строка (убрать галочку)</v>
      </c>
    </row>
    <row r="1256" spans="1:10" hidden="1">
      <c r="A1256" s="33">
        <f>IF(D1256=0,0,A1255+1)</f>
        <v>0</v>
      </c>
      <c r="B1256" s="45" t="s">
        <v>119</v>
      </c>
      <c r="C1256" s="33" t="s">
        <v>116</v>
      </c>
      <c r="D1256" s="34">
        <f>VLOOKUP($F$45,таблица,39,0)</f>
        <v>0</v>
      </c>
      <c r="E1256" s="7"/>
      <c r="J1256" s="362" t="str">
        <f t="shared" si="153"/>
        <v>Пустая строка (убрать галочку)</v>
      </c>
    </row>
    <row r="1257" spans="1:10" hidden="1">
      <c r="A1257" s="33">
        <f>IF(D1257=0,0,A1256+1)</f>
        <v>0</v>
      </c>
      <c r="B1257" s="45" t="str">
        <f>"Всего с НДС на "&amp;'Анализ стоимости'!$AW$1&amp;" г."</f>
        <v>Всего с НДС на 2018 г.</v>
      </c>
      <c r="C1257" s="33" t="s">
        <v>116</v>
      </c>
      <c r="D1257" s="46">
        <f>SUM(D1255:D1256)</f>
        <v>0</v>
      </c>
      <c r="E1257" s="56">
        <f>VLOOKUP($F$45,таблица,51,0)</f>
        <v>0</v>
      </c>
      <c r="J1257" s="362" t="str">
        <f t="shared" si="153"/>
        <v>Пустая строка (убрать галочку)</v>
      </c>
    </row>
    <row r="1258" spans="1:10" ht="31.5" hidden="1">
      <c r="A1258" s="33">
        <f>IF(D1258=0,0,IF(D1257=0,IF(D1253=0,A1249+1,A1253+1),A1257+1))</f>
        <v>0</v>
      </c>
      <c r="B125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258" s="33" t="s">
        <v>116</v>
      </c>
      <c r="D1258" s="34">
        <f>VLOOKUP($F$45,таблица,36,0)-VLOOKUP($F$45,таблица,37,0)+D1253</f>
        <v>0</v>
      </c>
      <c r="J1258" s="362" t="str">
        <f t="shared" si="153"/>
        <v>Пустая строка (убрать галочку)</v>
      </c>
    </row>
    <row r="1259" spans="1:10" hidden="1">
      <c r="A1259" s="33">
        <f>IF(D1259=0,0,A1258+1)</f>
        <v>0</v>
      </c>
      <c r="B1259" s="45" t="s">
        <v>119</v>
      </c>
      <c r="C1259" s="33" t="s">
        <v>116</v>
      </c>
      <c r="D1259" s="34">
        <f>VLOOKUP($F$45,таблица,41,0)</f>
        <v>0</v>
      </c>
      <c r="J1259" s="362" t="str">
        <f t="shared" si="153"/>
        <v>Пустая строка (убрать галочку)</v>
      </c>
    </row>
    <row r="1260" spans="1:10" hidden="1">
      <c r="A1260" s="33">
        <f>IF(D1260=0,0,A1259+1)</f>
        <v>0</v>
      </c>
      <c r="B1260" s="45" t="str">
        <f>"Всего с НДС на "&amp;'Анализ стоимости'!$AX$1&amp;" г."</f>
        <v>Всего с НДС на 2019 г.</v>
      </c>
      <c r="C1260" s="33" t="s">
        <v>116</v>
      </c>
      <c r="D1260" s="46">
        <f>SUM(D1258:D1259)</f>
        <v>0</v>
      </c>
      <c r="E1260" s="56">
        <f>VLOOKUP($F$45,таблица,52,0)</f>
        <v>0</v>
      </c>
      <c r="J1260" s="362" t="str">
        <f t="shared" si="153"/>
        <v>Пустая строка (убрать галочку)</v>
      </c>
    </row>
    <row r="1261" spans="1:10" hidden="1">
      <c r="A1261" s="33">
        <f>IF(D1261=0,0,A1260+1)</f>
        <v>0</v>
      </c>
      <c r="B1261" s="45" t="s">
        <v>118</v>
      </c>
      <c r="C1261" s="33" t="s">
        <v>116</v>
      </c>
      <c r="D1261" s="46">
        <f>IF(OR(D1257=0,D1260=0),0,D1260+D1257)</f>
        <v>0</v>
      </c>
      <c r="E1261" s="56">
        <f>VLOOKUP($F$45,таблица,42,0)</f>
        <v>0</v>
      </c>
      <c r="J1261" s="362" t="str">
        <f t="shared" si="153"/>
        <v>Пустая строка (убрать галочку)</v>
      </c>
    </row>
    <row r="1262" spans="1:10" hidden="1">
      <c r="A1262" s="13"/>
      <c r="B1262" s="13"/>
      <c r="C1262" s="13"/>
      <c r="D1262" s="14"/>
      <c r="J1262" s="362" t="str">
        <f>IF($F$45=0,"Пустая строка (убрать галочку)",1)</f>
        <v>Пустая строка (убрать галочку)</v>
      </c>
    </row>
    <row r="1263" spans="1:10" ht="47.25" hidden="1" customHeight="1">
      <c r="A126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263" s="382"/>
      <c r="C1263" s="67"/>
      <c r="D1263" s="48" t="str">
        <f>'Анализ стоимости'!$I$101</f>
        <v>Шестопал О.Н.</v>
      </c>
      <c r="G1263" s="43" t="str">
        <f>A1263</f>
        <v>Специалист администрации Старонижестеблиевского сельского поселения Красноармейского района</v>
      </c>
      <c r="J1263" s="362" t="str">
        <f>IF($F$45=0,"Пустая строка (убрать галочку)",1)</f>
        <v>Пустая строка (убрать галочку)</v>
      </c>
    </row>
    <row r="1264" spans="1:10" hidden="1">
      <c r="A1264" s="49"/>
      <c r="B1264" s="49"/>
      <c r="C1264" s="49"/>
      <c r="D1264" s="50"/>
      <c r="J1264" s="362" t="str">
        <f>IF($F$45=0,"Пустая строка (убрать галочку)",1)</f>
        <v>Пустая строка (убрать галочку)</v>
      </c>
    </row>
    <row r="1265" spans="1:10" hidden="1">
      <c r="A1265" s="375"/>
      <c r="B1265" s="375"/>
      <c r="C1265" s="3"/>
      <c r="D1265" s="3"/>
      <c r="J1265" s="362" t="str">
        <f>IF($F$45=0,"Пустая строка (убрать галочку)",1)</f>
        <v>Пустая строка (убрать галочку)</v>
      </c>
    </row>
    <row r="1266" spans="1:10" hidden="1">
      <c r="A1266" s="385" t="s">
        <v>180</v>
      </c>
      <c r="B1266" s="385"/>
      <c r="C1266" s="385"/>
      <c r="D1266" s="385"/>
      <c r="G1266" s="37"/>
      <c r="H1266" s="37"/>
      <c r="J1266" s="362" t="str">
        <f t="shared" ref="J1266:J1283" si="154">IF($F$46=0,"Пустая строка (убрать галочку)",1)</f>
        <v>Пустая строка (убрать галочку)</v>
      </c>
    </row>
    <row r="1267" spans="1:10" ht="47.25" hidden="1" customHeight="1">
      <c r="A1267" s="376" t="str">
        <f>CONCATENATE("Наименование объекта: ",VLOOKUP($F$46,таблица,9,0))</f>
        <v xml:space="preserve">Наименование объекта: </v>
      </c>
      <c r="B1267" s="376"/>
      <c r="C1267" s="376"/>
      <c r="D1267" s="376"/>
      <c r="I1267" s="58" t="str">
        <f>A1267</f>
        <v xml:space="preserve">Наименование объекта: </v>
      </c>
      <c r="J1267" s="362" t="str">
        <f t="shared" si="154"/>
        <v>Пустая строка (убрать галочку)</v>
      </c>
    </row>
    <row r="1268" spans="1:10" hidden="1">
      <c r="A1268" s="30"/>
      <c r="B1268" s="25"/>
      <c r="C1268" s="25"/>
      <c r="D1268" s="25"/>
      <c r="J1268" s="362" t="str">
        <f t="shared" si="154"/>
        <v>Пустая строка (убрать галочку)</v>
      </c>
    </row>
    <row r="1269" spans="1:10" hidden="1">
      <c r="A1269" s="29" t="s">
        <v>111</v>
      </c>
      <c r="B1269" s="22"/>
      <c r="C1269" s="22"/>
      <c r="D1269" s="22"/>
      <c r="J1269" s="362" t="str">
        <f t="shared" si="154"/>
        <v>Пустая строка (убрать галочку)</v>
      </c>
    </row>
    <row r="1270" spans="1:10" hidden="1">
      <c r="A1270" s="383" t="s">
        <v>112</v>
      </c>
      <c r="B1270" s="383"/>
      <c r="C1270" s="383"/>
      <c r="D1270" s="383"/>
      <c r="J1270" s="362" t="str">
        <f t="shared" si="154"/>
        <v>Пустая строка (убрать галочку)</v>
      </c>
    </row>
    <row r="1271" spans="1:10" ht="47.25" hidden="1">
      <c r="A1271" s="68" t="s">
        <v>67</v>
      </c>
      <c r="B1271" s="68" t="s">
        <v>98</v>
      </c>
      <c r="C1271" s="377" t="str">
        <f>CONCATENATE("Стоимость  согласно сметной документации (руб.) в текущих ценах по состоянию на ",VLOOKUP($F$46,таблица,5,0)," г.")</f>
        <v>Стоимость  согласно сметной документации (руб.) в текущих ценах по состоянию на  г.</v>
      </c>
      <c r="D1271" s="378"/>
      <c r="H1271" s="44" t="str">
        <f>C1271</f>
        <v>Стоимость  согласно сметной документации (руб.) в текущих ценах по состоянию на  г.</v>
      </c>
      <c r="J1271" s="362" t="str">
        <f t="shared" si="154"/>
        <v>Пустая строка (убрать галочку)</v>
      </c>
    </row>
    <row r="1272" spans="1:10" hidden="1">
      <c r="A1272" s="33">
        <v>1</v>
      </c>
      <c r="B1272" s="32" t="s">
        <v>46</v>
      </c>
      <c r="C1272" s="379">
        <f>VLOOKUP($F$46,таблица,10,0)</f>
        <v>0</v>
      </c>
      <c r="D1272" s="380"/>
      <c r="J1272" s="362" t="str">
        <f t="shared" si="154"/>
        <v>Пустая строка (убрать галочку)</v>
      </c>
    </row>
    <row r="1273" spans="1:10" hidden="1">
      <c r="A1273" s="33">
        <v>2</v>
      </c>
      <c r="B1273" s="32" t="s">
        <v>41</v>
      </c>
      <c r="C1273" s="379">
        <f>VLOOKUP($F$46,таблица,11,0)</f>
        <v>0</v>
      </c>
      <c r="D1273" s="380"/>
      <c r="J1273" s="362" t="str">
        <f t="shared" si="154"/>
        <v>Пустая строка (убрать галочку)</v>
      </c>
    </row>
    <row r="1274" spans="1:10" ht="31.5" hidden="1">
      <c r="A1274" s="33">
        <v>3</v>
      </c>
      <c r="B1274" s="32" t="s">
        <v>3</v>
      </c>
      <c r="C1274" s="379">
        <f>VLOOKUP($F$46,таблица,12,0)</f>
        <v>0</v>
      </c>
      <c r="D1274" s="380"/>
      <c r="J1274" s="362" t="str">
        <f t="shared" si="154"/>
        <v>Пустая строка (убрать галочку)</v>
      </c>
    </row>
    <row r="1275" spans="1:10" hidden="1">
      <c r="A1275" s="33">
        <v>4</v>
      </c>
      <c r="B1275" s="32" t="s">
        <v>42</v>
      </c>
      <c r="C1275" s="379">
        <f>VLOOKUP($F$46,таблица,13,0)</f>
        <v>0</v>
      </c>
      <c r="D1275" s="380"/>
      <c r="J1275" s="362" t="str">
        <f t="shared" si="154"/>
        <v>Пустая строка (убрать галочку)</v>
      </c>
    </row>
    <row r="1276" spans="1:10" hidden="1">
      <c r="A1276" s="33">
        <v>5</v>
      </c>
      <c r="B1276" s="32" t="s">
        <v>5</v>
      </c>
      <c r="C1276" s="379">
        <f>VLOOKUP($F$46,таблица,14,0)</f>
        <v>0</v>
      </c>
      <c r="D1276" s="380"/>
      <c r="J1276" s="362" t="str">
        <f t="shared" si="154"/>
        <v>Пустая строка (убрать галочку)</v>
      </c>
    </row>
    <row r="1277" spans="1:10" hidden="1">
      <c r="A1277" s="33">
        <v>6</v>
      </c>
      <c r="B1277" s="32" t="s">
        <v>12</v>
      </c>
      <c r="C1277" s="379">
        <f>VLOOKUP($F$46,таблица,18,0)</f>
        <v>0</v>
      </c>
      <c r="D1277" s="380"/>
      <c r="J1277" s="362" t="str">
        <f t="shared" si="154"/>
        <v>Пустая строка (убрать галочку)</v>
      </c>
    </row>
    <row r="1278" spans="1:10" hidden="1">
      <c r="A1278" s="33">
        <v>7</v>
      </c>
      <c r="B1278" s="32" t="s">
        <v>88</v>
      </c>
      <c r="C1278" s="379">
        <f>VLOOKUP($F$46,таблица,19,0)+VLOOKUP($F$46,таблица,21,0)+VLOOKUP($F$46,таблица,22,0)+VLOOKUP($F$46,таблица,23,0)+VLOOKUP($F$46,таблица,24,0)+VLOOKUP($F$46,таблица,25,0)+VLOOKUP($F$46,таблица,26,0)</f>
        <v>0</v>
      </c>
      <c r="D1278" s="380"/>
      <c r="J1278" s="362" t="str">
        <f t="shared" si="154"/>
        <v>Пустая строка (убрать галочку)</v>
      </c>
    </row>
    <row r="1279" spans="1:10" hidden="1">
      <c r="A1279" s="33">
        <v>8</v>
      </c>
      <c r="B1279" s="32" t="s">
        <v>62</v>
      </c>
      <c r="C1279" s="379">
        <f>VLOOKUP($F$46,таблица,31,0)</f>
        <v>0</v>
      </c>
      <c r="D1279" s="380"/>
      <c r="J1279" s="362" t="str">
        <f t="shared" si="154"/>
        <v>Пустая строка (убрать галочку)</v>
      </c>
    </row>
    <row r="1280" spans="1:10" hidden="1">
      <c r="A1280" s="33">
        <v>9</v>
      </c>
      <c r="B1280" s="32" t="s">
        <v>127</v>
      </c>
      <c r="C1280" s="379">
        <f>SUM(C1272:D1279)</f>
        <v>0</v>
      </c>
      <c r="D1280" s="380"/>
      <c r="J1280" s="362" t="str">
        <f t="shared" si="154"/>
        <v>Пустая строка (убрать галочку)</v>
      </c>
    </row>
    <row r="1281" spans="1:10" hidden="1">
      <c r="A1281" s="384" t="s">
        <v>122</v>
      </c>
      <c r="B1281" s="384"/>
      <c r="C1281" s="384"/>
      <c r="D1281" s="384"/>
      <c r="J1281" s="362" t="str">
        <f t="shared" si="154"/>
        <v>Пустая строка (убрать галочку)</v>
      </c>
    </row>
    <row r="1282" spans="1:10" ht="31.5" hidden="1">
      <c r="A1282" s="35" t="s">
        <v>67</v>
      </c>
      <c r="B1282" s="68" t="s">
        <v>21</v>
      </c>
      <c r="C1282" s="68" t="s">
        <v>114</v>
      </c>
      <c r="D1282" s="68" t="s">
        <v>99</v>
      </c>
      <c r="J1282" s="362" t="str">
        <f t="shared" si="154"/>
        <v>Пустая строка (убрать галочку)</v>
      </c>
    </row>
    <row r="1283" spans="1:10" hidden="1">
      <c r="A1283" s="33">
        <v>10</v>
      </c>
      <c r="B1283" s="33" t="e">
        <f>VLOOKUP((VLOOKUP($F$46,таблица,8,0)),рем_содер,2,0)</f>
        <v>#N/A</v>
      </c>
      <c r="C1283" s="33"/>
      <c r="D1283" s="32"/>
      <c r="J1283" s="362" t="str">
        <f t="shared" si="154"/>
        <v>Пустая строка (убрать галочку)</v>
      </c>
    </row>
    <row r="1284" spans="1:10" hidden="1">
      <c r="A1284" s="33">
        <f>IF(D1284=0,0,A1283+1)</f>
        <v>0</v>
      </c>
      <c r="B1284" s="32" t="e">
        <f>CONCATENATE('Анализ стоимости'!$AW$1," г (",CHOOSE(VLOOKUP(F$46,таблица,43,0),"Январь","Февраль","Март","Апрель","Май","Июнь","Июль","Август","Сентябрь","Октябрь","Ноябрь","Декабрь")," - ",CHOOSE(VLOOKUP(F$46,таблица,44,0),"Январь","Февраль","Март","Апрель","Май","Июнь","Июль","Август","Сентябрь","Октябрь","Ноябрь","Декабрь"),")")</f>
        <v>#VALUE!</v>
      </c>
      <c r="C1284" s="33" t="s">
        <v>115</v>
      </c>
      <c r="D1284" s="55">
        <f>IF(D1286=0,0,VLOOKUP($F$46,таблица,49,0)*100+100)</f>
        <v>0</v>
      </c>
      <c r="J1284" s="362" t="str">
        <f>IF(D1284=0,"Пустая строка (убрать галочку)",1)</f>
        <v>Пустая строка (убрать галочку)</v>
      </c>
    </row>
    <row r="1285" spans="1:10" hidden="1">
      <c r="A1285" s="33">
        <f>IF(D1285=0,0,IF(D1284=0,A1283+1,A1284+1))</f>
        <v>0</v>
      </c>
      <c r="B1285" s="32" t="e">
        <f>CONCATENATE('Анализ стоимости'!$AX$1," г (",CHOOSE(VLOOKUP(F$46,таблица,45,0),"Январь","Февраль","Март","Апрель","Май","Июнь","Июль","Август","Сентябрь","Октябрь","Ноябрь","Декабрь")," - ",CHOOSE(VLOOKUP(F$46,таблица,46,0),"Январь","Февраль","Март","Апрель","Май","Июнь","Июль","Август","Сентябрь","Октябрь","Ноябрь","Декабрь"),")")</f>
        <v>#VALUE!</v>
      </c>
      <c r="C1285" s="33" t="s">
        <v>115</v>
      </c>
      <c r="D1285" s="55">
        <f>IF(D1287=0,0,VLOOKUP($F$46,таблица,50,0)*100+100)</f>
        <v>0</v>
      </c>
      <c r="J1285" s="362" t="str">
        <f>IF(D1285=0,"Пустая строка (убрать галочку)",1)</f>
        <v>Пустая строка (убрать галочку)</v>
      </c>
    </row>
    <row r="1286" spans="1:10" hidden="1">
      <c r="A1286" s="33">
        <f>IF(D1286=0,0,IF(D1285=0,A1284+1,A1285+1))</f>
        <v>0</v>
      </c>
      <c r="B1286" s="32" t="str">
        <f>"Рост стоимости "&amp;'Анализ стоимости'!$AW$1&amp;" г."</f>
        <v>Рост стоимости 2018 г.</v>
      </c>
      <c r="C1286" s="33" t="s">
        <v>116</v>
      </c>
      <c r="D1286" s="34">
        <f>VLOOKUP($F$46,таблица,38,0)</f>
        <v>0</v>
      </c>
      <c r="J1286" s="362" t="str">
        <f>IF(D1286=0,"Пустая строка (убрать галочку)",1)</f>
        <v>Пустая строка (убрать галочку)</v>
      </c>
    </row>
    <row r="1287" spans="1:10" hidden="1">
      <c r="A1287" s="33">
        <f>IF(D1287=0,0,IF(D1286=0,A1285+1,A1286+1))</f>
        <v>0</v>
      </c>
      <c r="B1287" s="32" t="str">
        <f>"Рост стоимости "&amp;'Анализ стоимости'!$AX$1&amp;" г."</f>
        <v>Рост стоимости 2019 г.</v>
      </c>
      <c r="C1287" s="33" t="s">
        <v>116</v>
      </c>
      <c r="D1287" s="34">
        <f>VLOOKUP($F$46,таблица,40,0)</f>
        <v>0</v>
      </c>
      <c r="J1287" s="362" t="str">
        <f>IF(D1287=0,"Пустая строка (убрать галочку)",1)</f>
        <v>Пустая строка (убрать галочку)</v>
      </c>
    </row>
    <row r="1288" spans="1:10" hidden="1">
      <c r="A1288" s="384" t="s">
        <v>117</v>
      </c>
      <c r="B1288" s="384"/>
      <c r="C1288" s="384"/>
      <c r="D1288" s="384"/>
      <c r="J1288" s="362" t="str">
        <f>IF($F$46=0,"Пустая строка (убрать галочку)",1)</f>
        <v>Пустая строка (убрать галочку)</v>
      </c>
    </row>
    <row r="1289" spans="1:10" ht="31.5" hidden="1">
      <c r="A1289" s="33">
        <f>IF(D1289=0,0,IF(D1287=0,IF(D1286=0,A1283+1,A1286+1),A1287+1))</f>
        <v>0</v>
      </c>
      <c r="B128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289" s="33" t="s">
        <v>116</v>
      </c>
      <c r="D1289" s="34">
        <f>SUM(VLOOKUP($F$46,таблица,37,0),D1286)</f>
        <v>0</v>
      </c>
      <c r="E1289" s="7"/>
      <c r="J1289" s="362" t="str">
        <f t="shared" ref="J1289:J1295" si="155">IF(D1289=0,"Пустая строка (убрать галочку)",1)</f>
        <v>Пустая строка (убрать галочку)</v>
      </c>
    </row>
    <row r="1290" spans="1:10" hidden="1">
      <c r="A1290" s="33">
        <f>IF(D1290=0,0,A1289+1)</f>
        <v>0</v>
      </c>
      <c r="B1290" s="45" t="s">
        <v>119</v>
      </c>
      <c r="C1290" s="33" t="s">
        <v>116</v>
      </c>
      <c r="D1290" s="34">
        <f>VLOOKUP($F$46,таблица,39,0)</f>
        <v>0</v>
      </c>
      <c r="E1290" s="7"/>
      <c r="J1290" s="362" t="str">
        <f t="shared" si="155"/>
        <v>Пустая строка (убрать галочку)</v>
      </c>
    </row>
    <row r="1291" spans="1:10" hidden="1">
      <c r="A1291" s="33">
        <f>IF(D1291=0,0,A1290+1)</f>
        <v>0</v>
      </c>
      <c r="B1291" s="45" t="str">
        <f>"Всего с НДС на "&amp;'Анализ стоимости'!$AW$1&amp;" г."</f>
        <v>Всего с НДС на 2018 г.</v>
      </c>
      <c r="C1291" s="33" t="s">
        <v>116</v>
      </c>
      <c r="D1291" s="46">
        <f>SUM(D1289:D1290)</f>
        <v>0</v>
      </c>
      <c r="E1291" s="56">
        <f>VLOOKUP($F$46,таблица,51,0)</f>
        <v>0</v>
      </c>
      <c r="J1291" s="362" t="str">
        <f t="shared" si="155"/>
        <v>Пустая строка (убрать галочку)</v>
      </c>
    </row>
    <row r="1292" spans="1:10" ht="31.5" hidden="1">
      <c r="A1292" s="33">
        <f>IF(D1292=0,0,IF(D1291=0,IF(D1287=0,A1283+1,A1287+1),A1291+1))</f>
        <v>0</v>
      </c>
      <c r="B129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292" s="33" t="s">
        <v>116</v>
      </c>
      <c r="D1292" s="34">
        <f>VLOOKUP($F$46,таблица,36,0)-VLOOKUP($F$46,таблица,37,0)+D1287</f>
        <v>0</v>
      </c>
      <c r="J1292" s="362" t="str">
        <f t="shared" si="155"/>
        <v>Пустая строка (убрать галочку)</v>
      </c>
    </row>
    <row r="1293" spans="1:10" hidden="1">
      <c r="A1293" s="33">
        <f>IF(D1293=0,0,A1292+1)</f>
        <v>0</v>
      </c>
      <c r="B1293" s="45" t="s">
        <v>119</v>
      </c>
      <c r="C1293" s="33" t="s">
        <v>116</v>
      </c>
      <c r="D1293" s="34">
        <f>VLOOKUP($F$46,таблица,41,0)</f>
        <v>0</v>
      </c>
      <c r="J1293" s="362" t="str">
        <f t="shared" si="155"/>
        <v>Пустая строка (убрать галочку)</v>
      </c>
    </row>
    <row r="1294" spans="1:10" hidden="1">
      <c r="A1294" s="33">
        <f>IF(D1294=0,0,A1293+1)</f>
        <v>0</v>
      </c>
      <c r="B1294" s="45" t="str">
        <f>"Всего с НДС на "&amp;'Анализ стоимости'!$AX$1&amp;" г."</f>
        <v>Всего с НДС на 2019 г.</v>
      </c>
      <c r="C1294" s="33" t="s">
        <v>116</v>
      </c>
      <c r="D1294" s="46">
        <f>SUM(D1292:D1293)</f>
        <v>0</v>
      </c>
      <c r="E1294" s="56">
        <f>VLOOKUP($F$46,таблица,52,0)</f>
        <v>0</v>
      </c>
      <c r="J1294" s="362" t="str">
        <f t="shared" si="155"/>
        <v>Пустая строка (убрать галочку)</v>
      </c>
    </row>
    <row r="1295" spans="1:10" hidden="1">
      <c r="A1295" s="33">
        <f>IF(D1295=0,0,A1294+1)</f>
        <v>0</v>
      </c>
      <c r="B1295" s="45" t="s">
        <v>118</v>
      </c>
      <c r="C1295" s="33" t="s">
        <v>116</v>
      </c>
      <c r="D1295" s="46">
        <f>IF(OR(D1291=0,D1294=0),0,D1294+D1291)</f>
        <v>0</v>
      </c>
      <c r="E1295" s="56">
        <f>VLOOKUP($F$46,таблица,42,0)</f>
        <v>0</v>
      </c>
      <c r="J1295" s="362" t="str">
        <f t="shared" si="155"/>
        <v>Пустая строка (убрать галочку)</v>
      </c>
    </row>
    <row r="1296" spans="1:10" hidden="1">
      <c r="A1296" s="13"/>
      <c r="B1296" s="13"/>
      <c r="C1296" s="13"/>
      <c r="D1296" s="14"/>
      <c r="J1296" s="362" t="str">
        <f>IF($F$46=0,"Пустая строка (убрать галочку)",1)</f>
        <v>Пустая строка (убрать галочку)</v>
      </c>
    </row>
    <row r="1297" spans="1:10" ht="47.25" hidden="1" customHeight="1">
      <c r="A129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297" s="382"/>
      <c r="C1297" s="67"/>
      <c r="D1297" s="48" t="str">
        <f>'Анализ стоимости'!$I$101</f>
        <v>Шестопал О.Н.</v>
      </c>
      <c r="G1297" s="43" t="str">
        <f>A1297</f>
        <v>Специалист администрации Старонижестеблиевского сельского поселения Красноармейского района</v>
      </c>
      <c r="J1297" s="362" t="str">
        <f>IF($F$46=0,"Пустая строка (убрать галочку)",1)</f>
        <v>Пустая строка (убрать галочку)</v>
      </c>
    </row>
    <row r="1298" spans="1:10" hidden="1">
      <c r="A1298" s="49"/>
      <c r="B1298" s="49"/>
      <c r="C1298" s="49"/>
      <c r="D1298" s="50"/>
      <c r="J1298" s="362" t="str">
        <f>IF($F$46=0,"Пустая строка (убрать галочку)",1)</f>
        <v>Пустая строка (убрать галочку)</v>
      </c>
    </row>
    <row r="1299" spans="1:10" hidden="1">
      <c r="A1299" s="375"/>
      <c r="B1299" s="375"/>
      <c r="C1299" s="3"/>
      <c r="D1299" s="3"/>
      <c r="J1299" s="362" t="str">
        <f>IF($F$46=0,"Пустая строка (убрать галочку)",1)</f>
        <v>Пустая строка (убрать галочку)</v>
      </c>
    </row>
    <row r="1300" spans="1:10" hidden="1">
      <c r="A1300" s="385" t="s">
        <v>181</v>
      </c>
      <c r="B1300" s="385"/>
      <c r="C1300" s="385"/>
      <c r="D1300" s="385"/>
      <c r="G1300" s="37"/>
      <c r="H1300" s="37"/>
      <c r="J1300" s="362" t="str">
        <f t="shared" ref="J1300:J1317" si="156">IF($F$47=0,"Пустая строка (убрать галочку)",1)</f>
        <v>Пустая строка (убрать галочку)</v>
      </c>
    </row>
    <row r="1301" spans="1:10" ht="47.25" hidden="1" customHeight="1">
      <c r="A1301" s="376" t="str">
        <f>CONCATENATE("Наименование объекта: ",VLOOKUP($F$47,таблица,9,0))</f>
        <v xml:space="preserve">Наименование объекта: </v>
      </c>
      <c r="B1301" s="376"/>
      <c r="C1301" s="376"/>
      <c r="D1301" s="376"/>
      <c r="I1301" s="58" t="str">
        <f>A1301</f>
        <v xml:space="preserve">Наименование объекта: </v>
      </c>
      <c r="J1301" s="362" t="str">
        <f t="shared" si="156"/>
        <v>Пустая строка (убрать галочку)</v>
      </c>
    </row>
    <row r="1302" spans="1:10" hidden="1">
      <c r="A1302" s="30"/>
      <c r="B1302" s="25"/>
      <c r="C1302" s="25"/>
      <c r="D1302" s="25"/>
      <c r="J1302" s="362" t="str">
        <f t="shared" si="156"/>
        <v>Пустая строка (убрать галочку)</v>
      </c>
    </row>
    <row r="1303" spans="1:10" hidden="1">
      <c r="A1303" s="29" t="s">
        <v>111</v>
      </c>
      <c r="B1303" s="22"/>
      <c r="C1303" s="22"/>
      <c r="D1303" s="22"/>
      <c r="J1303" s="362" t="str">
        <f t="shared" si="156"/>
        <v>Пустая строка (убрать галочку)</v>
      </c>
    </row>
    <row r="1304" spans="1:10" hidden="1">
      <c r="A1304" s="383" t="s">
        <v>112</v>
      </c>
      <c r="B1304" s="383"/>
      <c r="C1304" s="383"/>
      <c r="D1304" s="383"/>
      <c r="J1304" s="362" t="str">
        <f t="shared" si="156"/>
        <v>Пустая строка (убрать галочку)</v>
      </c>
    </row>
    <row r="1305" spans="1:10" ht="47.25" hidden="1">
      <c r="A1305" s="68" t="s">
        <v>67</v>
      </c>
      <c r="B1305" s="68" t="s">
        <v>98</v>
      </c>
      <c r="C1305" s="377" t="str">
        <f>CONCATENATE("Стоимость  согласно сметной документации (руб.) в текущих ценах по состоянию на ",VLOOKUP($F$47,таблица,5,0)," г.")</f>
        <v>Стоимость  согласно сметной документации (руб.) в текущих ценах по состоянию на  г.</v>
      </c>
      <c r="D1305" s="378"/>
      <c r="H1305" s="44" t="str">
        <f>C1305</f>
        <v>Стоимость  согласно сметной документации (руб.) в текущих ценах по состоянию на  г.</v>
      </c>
      <c r="J1305" s="362" t="str">
        <f t="shared" si="156"/>
        <v>Пустая строка (убрать галочку)</v>
      </c>
    </row>
    <row r="1306" spans="1:10" hidden="1">
      <c r="A1306" s="33">
        <v>1</v>
      </c>
      <c r="B1306" s="32" t="s">
        <v>46</v>
      </c>
      <c r="C1306" s="379">
        <f>VLOOKUP($F$47,таблица,10,0)</f>
        <v>0</v>
      </c>
      <c r="D1306" s="380"/>
      <c r="J1306" s="362" t="str">
        <f t="shared" si="156"/>
        <v>Пустая строка (убрать галочку)</v>
      </c>
    </row>
    <row r="1307" spans="1:10" hidden="1">
      <c r="A1307" s="33">
        <v>2</v>
      </c>
      <c r="B1307" s="32" t="s">
        <v>41</v>
      </c>
      <c r="C1307" s="379">
        <f>VLOOKUP($F$47,таблица,11,0)</f>
        <v>0</v>
      </c>
      <c r="D1307" s="380"/>
      <c r="J1307" s="362" t="str">
        <f t="shared" si="156"/>
        <v>Пустая строка (убрать галочку)</v>
      </c>
    </row>
    <row r="1308" spans="1:10" ht="31.5" hidden="1">
      <c r="A1308" s="33">
        <v>3</v>
      </c>
      <c r="B1308" s="32" t="s">
        <v>3</v>
      </c>
      <c r="C1308" s="379">
        <f>VLOOKUP($F$47,таблица,12,0)</f>
        <v>0</v>
      </c>
      <c r="D1308" s="380"/>
      <c r="J1308" s="362" t="str">
        <f t="shared" si="156"/>
        <v>Пустая строка (убрать галочку)</v>
      </c>
    </row>
    <row r="1309" spans="1:10" hidden="1">
      <c r="A1309" s="33">
        <v>4</v>
      </c>
      <c r="B1309" s="32" t="s">
        <v>42</v>
      </c>
      <c r="C1309" s="379">
        <f>VLOOKUP($F$47,таблица,13,0)</f>
        <v>0</v>
      </c>
      <c r="D1309" s="380"/>
      <c r="J1309" s="362" t="str">
        <f t="shared" si="156"/>
        <v>Пустая строка (убрать галочку)</v>
      </c>
    </row>
    <row r="1310" spans="1:10" hidden="1">
      <c r="A1310" s="33">
        <v>5</v>
      </c>
      <c r="B1310" s="32" t="s">
        <v>5</v>
      </c>
      <c r="C1310" s="379">
        <f>VLOOKUP($F$47,таблица,14,0)</f>
        <v>0</v>
      </c>
      <c r="D1310" s="380"/>
      <c r="J1310" s="362" t="str">
        <f t="shared" si="156"/>
        <v>Пустая строка (убрать галочку)</v>
      </c>
    </row>
    <row r="1311" spans="1:10" hidden="1">
      <c r="A1311" s="33">
        <v>6</v>
      </c>
      <c r="B1311" s="32" t="s">
        <v>12</v>
      </c>
      <c r="C1311" s="379">
        <f>VLOOKUP($F$47,таблица,18,0)</f>
        <v>0</v>
      </c>
      <c r="D1311" s="380"/>
      <c r="J1311" s="362" t="str">
        <f t="shared" si="156"/>
        <v>Пустая строка (убрать галочку)</v>
      </c>
    </row>
    <row r="1312" spans="1:10" hidden="1">
      <c r="A1312" s="33">
        <v>7</v>
      </c>
      <c r="B1312" s="32" t="s">
        <v>88</v>
      </c>
      <c r="C1312" s="379">
        <f>VLOOKUP($F$47,таблица,19,0)+VLOOKUP($F$47,таблица,21,0)+VLOOKUP($F$47,таблица,22,0)+VLOOKUP($F$47,таблица,23,0)+VLOOKUP($F$47,таблица,24,0)+VLOOKUP($F$47,таблица,25,0)+VLOOKUP($F$47,таблица,26,0)</f>
        <v>0</v>
      </c>
      <c r="D1312" s="380"/>
      <c r="J1312" s="362" t="str">
        <f t="shared" si="156"/>
        <v>Пустая строка (убрать галочку)</v>
      </c>
    </row>
    <row r="1313" spans="1:10" hidden="1">
      <c r="A1313" s="33">
        <v>8</v>
      </c>
      <c r="B1313" s="32" t="s">
        <v>62</v>
      </c>
      <c r="C1313" s="379">
        <f>VLOOKUP($F$47,таблица,31,0)</f>
        <v>0</v>
      </c>
      <c r="D1313" s="380"/>
      <c r="J1313" s="362" t="str">
        <f t="shared" si="156"/>
        <v>Пустая строка (убрать галочку)</v>
      </c>
    </row>
    <row r="1314" spans="1:10" hidden="1">
      <c r="A1314" s="33">
        <v>9</v>
      </c>
      <c r="B1314" s="32" t="s">
        <v>127</v>
      </c>
      <c r="C1314" s="379">
        <f>SUM(C1306:D1313)</f>
        <v>0</v>
      </c>
      <c r="D1314" s="380"/>
      <c r="J1314" s="362" t="str">
        <f t="shared" si="156"/>
        <v>Пустая строка (убрать галочку)</v>
      </c>
    </row>
    <row r="1315" spans="1:10" hidden="1">
      <c r="A1315" s="384" t="s">
        <v>122</v>
      </c>
      <c r="B1315" s="384"/>
      <c r="C1315" s="384"/>
      <c r="D1315" s="384"/>
      <c r="J1315" s="362" t="str">
        <f t="shared" si="156"/>
        <v>Пустая строка (убрать галочку)</v>
      </c>
    </row>
    <row r="1316" spans="1:10" ht="31.5" hidden="1">
      <c r="A1316" s="35" t="s">
        <v>67</v>
      </c>
      <c r="B1316" s="68" t="s">
        <v>21</v>
      </c>
      <c r="C1316" s="68" t="s">
        <v>114</v>
      </c>
      <c r="D1316" s="68" t="s">
        <v>99</v>
      </c>
      <c r="J1316" s="362" t="str">
        <f t="shared" si="156"/>
        <v>Пустая строка (убрать галочку)</v>
      </c>
    </row>
    <row r="1317" spans="1:10" hidden="1">
      <c r="A1317" s="33">
        <v>10</v>
      </c>
      <c r="B1317" s="33" t="e">
        <f>VLOOKUP((VLOOKUP($F$47,таблица,8,0)),рем_содер,2,0)</f>
        <v>#N/A</v>
      </c>
      <c r="C1317" s="33"/>
      <c r="D1317" s="32"/>
      <c r="J1317" s="362" t="str">
        <f t="shared" si="156"/>
        <v>Пустая строка (убрать галочку)</v>
      </c>
    </row>
    <row r="1318" spans="1:10" hidden="1">
      <c r="A1318" s="33">
        <f>IF(D1318=0,0,A1317+1)</f>
        <v>0</v>
      </c>
      <c r="B1318" s="32" t="e">
        <f>CONCATENATE('Анализ стоимости'!$AW$1," г (",CHOOSE(VLOOKUP(F$47,таблица,43,0),"Январь","Февраль","Март","Апрель","Май","Июнь","Июль","Август","Сентябрь","Октябрь","Ноябрь","Декабрь")," - ",CHOOSE(VLOOKUP(F$47,таблица,44,0),"Январь","Февраль","Март","Апрель","Май","Июнь","Июль","Август","Сентябрь","Октябрь","Ноябрь","Декабрь"),")")</f>
        <v>#VALUE!</v>
      </c>
      <c r="C1318" s="33" t="s">
        <v>115</v>
      </c>
      <c r="D1318" s="55">
        <f>IF(D1320=0,0,VLOOKUP($F$47,таблица,49,0)*100+100)</f>
        <v>0</v>
      </c>
      <c r="J1318" s="362" t="str">
        <f>IF(D1318=0,"Пустая строка (убрать галочку)",1)</f>
        <v>Пустая строка (убрать галочку)</v>
      </c>
    </row>
    <row r="1319" spans="1:10" hidden="1">
      <c r="A1319" s="33">
        <f>IF(D1319=0,0,IF(D1318=0,A1317+1,A1318+1))</f>
        <v>0</v>
      </c>
      <c r="B1319" s="32" t="e">
        <f>CONCATENATE('Анализ стоимости'!$AX$1," г (",CHOOSE(VLOOKUP(F$47,таблица,45,0),"Январь","Февраль","Март","Апрель","Май","Июнь","Июль","Август","Сентябрь","Октябрь","Ноябрь","Декабрь")," - ",CHOOSE(VLOOKUP(F$47,таблица,46,0),"Январь","Февраль","Март","Апрель","Май","Июнь","Июль","Август","Сентябрь","Октябрь","Ноябрь","Декабрь"),")")</f>
        <v>#VALUE!</v>
      </c>
      <c r="C1319" s="33" t="s">
        <v>115</v>
      </c>
      <c r="D1319" s="55">
        <f>IF(D1321=0,0,VLOOKUP($F$47,таблица,50,0)*100+100)</f>
        <v>0</v>
      </c>
      <c r="J1319" s="362" t="str">
        <f>IF(D1319=0,"Пустая строка (убрать галочку)",1)</f>
        <v>Пустая строка (убрать галочку)</v>
      </c>
    </row>
    <row r="1320" spans="1:10" hidden="1">
      <c r="A1320" s="33">
        <f>IF(D1320=0,0,IF(D1319=0,A1318+1,A1319+1))</f>
        <v>0</v>
      </c>
      <c r="B1320" s="32" t="str">
        <f>"Рост стоимости "&amp;'Анализ стоимости'!$AW$1&amp;" г."</f>
        <v>Рост стоимости 2018 г.</v>
      </c>
      <c r="C1320" s="33" t="s">
        <v>116</v>
      </c>
      <c r="D1320" s="34">
        <f>VLOOKUP($F$47,таблица,38,0)</f>
        <v>0</v>
      </c>
      <c r="J1320" s="362" t="str">
        <f>IF(D1320=0,"Пустая строка (убрать галочку)",1)</f>
        <v>Пустая строка (убрать галочку)</v>
      </c>
    </row>
    <row r="1321" spans="1:10" hidden="1">
      <c r="A1321" s="33">
        <f>IF(D1321=0,0,IF(D1320=0,A1319+1,A1320+1))</f>
        <v>0</v>
      </c>
      <c r="B1321" s="32" t="str">
        <f>"Рост стоимости "&amp;'Анализ стоимости'!$AX$1&amp;" г."</f>
        <v>Рост стоимости 2019 г.</v>
      </c>
      <c r="C1321" s="33" t="s">
        <v>116</v>
      </c>
      <c r="D1321" s="34">
        <f>VLOOKUP($F$47,таблица,40,0)</f>
        <v>0</v>
      </c>
      <c r="J1321" s="362" t="str">
        <f>IF(D1321=0,"Пустая строка (убрать галочку)",1)</f>
        <v>Пустая строка (убрать галочку)</v>
      </c>
    </row>
    <row r="1322" spans="1:10" hidden="1">
      <c r="A1322" s="384" t="s">
        <v>117</v>
      </c>
      <c r="B1322" s="384"/>
      <c r="C1322" s="384"/>
      <c r="D1322" s="384"/>
      <c r="J1322" s="362" t="str">
        <f>IF($F$47=0,"Пустая строка (убрать галочку)",1)</f>
        <v>Пустая строка (убрать галочку)</v>
      </c>
    </row>
    <row r="1323" spans="1:10" ht="31.5" hidden="1">
      <c r="A1323" s="33">
        <f>IF(D1323=0,0,IF(D1321=0,IF(D1320=0,A1317+1,A1320+1),A1321+1))</f>
        <v>0</v>
      </c>
      <c r="B132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323" s="33" t="s">
        <v>116</v>
      </c>
      <c r="D1323" s="34">
        <f>SUM(VLOOKUP($F$47,таблица,37,0),D1320)</f>
        <v>0</v>
      </c>
      <c r="E1323" s="7"/>
      <c r="J1323" s="362" t="str">
        <f t="shared" ref="J1323:J1329" si="157">IF(D1323=0,"Пустая строка (убрать галочку)",1)</f>
        <v>Пустая строка (убрать галочку)</v>
      </c>
    </row>
    <row r="1324" spans="1:10" hidden="1">
      <c r="A1324" s="33">
        <f>IF(D1324=0,0,A1323+1)</f>
        <v>0</v>
      </c>
      <c r="B1324" s="45" t="s">
        <v>119</v>
      </c>
      <c r="C1324" s="33" t="s">
        <v>116</v>
      </c>
      <c r="D1324" s="34">
        <f>VLOOKUP($F$47,таблица,39,0)</f>
        <v>0</v>
      </c>
      <c r="E1324" s="7"/>
      <c r="J1324" s="362" t="str">
        <f t="shared" si="157"/>
        <v>Пустая строка (убрать галочку)</v>
      </c>
    </row>
    <row r="1325" spans="1:10" hidden="1">
      <c r="A1325" s="33">
        <f>IF(D1325=0,0,A1324+1)</f>
        <v>0</v>
      </c>
      <c r="B1325" s="45" t="str">
        <f>"Всего с НДС на "&amp;'Анализ стоимости'!$AW$1&amp;" г."</f>
        <v>Всего с НДС на 2018 г.</v>
      </c>
      <c r="C1325" s="33" t="s">
        <v>116</v>
      </c>
      <c r="D1325" s="46">
        <f>SUM(D1323:D1324)</f>
        <v>0</v>
      </c>
      <c r="E1325" s="56">
        <f>VLOOKUP($F$47,таблица,51,0)</f>
        <v>0</v>
      </c>
      <c r="J1325" s="362" t="str">
        <f t="shared" si="157"/>
        <v>Пустая строка (убрать галочку)</v>
      </c>
    </row>
    <row r="1326" spans="1:10" ht="31.5" hidden="1">
      <c r="A1326" s="33">
        <f>IF(D1326=0,0,IF(D1325=0,IF(D1321=0,A1317+1,A1321+1),A1325+1))</f>
        <v>0</v>
      </c>
      <c r="B132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326" s="33" t="s">
        <v>116</v>
      </c>
      <c r="D1326" s="34">
        <f>VLOOKUP($F$47,таблица,36,0)-VLOOKUP($F$47,таблица,37,0)+D1321</f>
        <v>0</v>
      </c>
      <c r="J1326" s="362" t="str">
        <f t="shared" si="157"/>
        <v>Пустая строка (убрать галочку)</v>
      </c>
    </row>
    <row r="1327" spans="1:10" hidden="1">
      <c r="A1327" s="33">
        <f>IF(D1327=0,0,A1326+1)</f>
        <v>0</v>
      </c>
      <c r="B1327" s="45" t="s">
        <v>119</v>
      </c>
      <c r="C1327" s="33" t="s">
        <v>116</v>
      </c>
      <c r="D1327" s="34">
        <f>VLOOKUP($F$47,таблица,41,0)</f>
        <v>0</v>
      </c>
      <c r="J1327" s="362" t="str">
        <f t="shared" si="157"/>
        <v>Пустая строка (убрать галочку)</v>
      </c>
    </row>
    <row r="1328" spans="1:10" hidden="1">
      <c r="A1328" s="33">
        <f>IF(D1328=0,0,A1327+1)</f>
        <v>0</v>
      </c>
      <c r="B1328" s="45" t="str">
        <f>"Всего с НДС на "&amp;'Анализ стоимости'!$AX$1&amp;" г."</f>
        <v>Всего с НДС на 2019 г.</v>
      </c>
      <c r="C1328" s="33" t="s">
        <v>116</v>
      </c>
      <c r="D1328" s="46">
        <f>SUM(D1326:D1327)</f>
        <v>0</v>
      </c>
      <c r="E1328" s="56">
        <f>VLOOKUP($F$47,таблица,52,0)</f>
        <v>0</v>
      </c>
      <c r="J1328" s="362" t="str">
        <f t="shared" si="157"/>
        <v>Пустая строка (убрать галочку)</v>
      </c>
    </row>
    <row r="1329" spans="1:10" hidden="1">
      <c r="A1329" s="33">
        <f>IF(D1329=0,0,A1328+1)</f>
        <v>0</v>
      </c>
      <c r="B1329" s="45" t="s">
        <v>118</v>
      </c>
      <c r="C1329" s="33" t="s">
        <v>116</v>
      </c>
      <c r="D1329" s="46">
        <f>IF(OR(D1325=0,D1328=0),0,D1328+D1325)</f>
        <v>0</v>
      </c>
      <c r="E1329" s="56">
        <f>VLOOKUP($F$47,таблица,42,0)</f>
        <v>0</v>
      </c>
      <c r="J1329" s="362" t="str">
        <f t="shared" si="157"/>
        <v>Пустая строка (убрать галочку)</v>
      </c>
    </row>
    <row r="1330" spans="1:10" hidden="1">
      <c r="A1330" s="13"/>
      <c r="B1330" s="13"/>
      <c r="C1330" s="13"/>
      <c r="D1330" s="14"/>
      <c r="J1330" s="362" t="str">
        <f>IF($F$47=0,"Пустая строка (убрать галочку)",1)</f>
        <v>Пустая строка (убрать галочку)</v>
      </c>
    </row>
    <row r="1331" spans="1:10" ht="47.25" hidden="1" customHeight="1">
      <c r="A133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331" s="382"/>
      <c r="C1331" s="67"/>
      <c r="D1331" s="48" t="str">
        <f>'Анализ стоимости'!$I$101</f>
        <v>Шестопал О.Н.</v>
      </c>
      <c r="G1331" s="43" t="str">
        <f>A1331</f>
        <v>Специалист администрации Старонижестеблиевского сельского поселения Красноармейского района</v>
      </c>
      <c r="J1331" s="362" t="str">
        <f>IF($F$47=0,"Пустая строка (убрать галочку)",1)</f>
        <v>Пустая строка (убрать галочку)</v>
      </c>
    </row>
    <row r="1332" spans="1:10" hidden="1">
      <c r="A1332" s="49"/>
      <c r="B1332" s="49"/>
      <c r="C1332" s="49"/>
      <c r="D1332" s="50"/>
      <c r="J1332" s="362" t="str">
        <f>IF($F$47=0,"Пустая строка (убрать галочку)",1)</f>
        <v>Пустая строка (убрать галочку)</v>
      </c>
    </row>
    <row r="1333" spans="1:10" hidden="1">
      <c r="A1333" s="375"/>
      <c r="B1333" s="375"/>
      <c r="C1333" s="3"/>
      <c r="D1333" s="3"/>
      <c r="J1333" s="362" t="str">
        <f>IF($F$47=0,"Пустая строка (убрать галочку)",1)</f>
        <v>Пустая строка (убрать галочку)</v>
      </c>
    </row>
    <row r="1334" spans="1:10" hidden="1">
      <c r="A1334" s="385" t="s">
        <v>182</v>
      </c>
      <c r="B1334" s="385"/>
      <c r="C1334" s="385"/>
      <c r="D1334" s="385"/>
      <c r="G1334" s="37"/>
      <c r="H1334" s="37"/>
      <c r="J1334" s="362" t="str">
        <f t="shared" ref="J1334:J1351" si="158">IF($F$48=0,"Пустая строка (убрать галочку)",1)</f>
        <v>Пустая строка (убрать галочку)</v>
      </c>
    </row>
    <row r="1335" spans="1:10" ht="47.25" hidden="1" customHeight="1">
      <c r="A1335" s="376" t="str">
        <f>CONCATENATE("Наименование объекта: ",VLOOKUP($F$48,таблица,9,0))</f>
        <v xml:space="preserve">Наименование объекта: </v>
      </c>
      <c r="B1335" s="376"/>
      <c r="C1335" s="376"/>
      <c r="D1335" s="376"/>
      <c r="I1335" s="58" t="str">
        <f>A1335</f>
        <v xml:space="preserve">Наименование объекта: </v>
      </c>
      <c r="J1335" s="362" t="str">
        <f t="shared" si="158"/>
        <v>Пустая строка (убрать галочку)</v>
      </c>
    </row>
    <row r="1336" spans="1:10" hidden="1">
      <c r="A1336" s="30"/>
      <c r="B1336" s="25"/>
      <c r="C1336" s="25"/>
      <c r="D1336" s="25"/>
      <c r="J1336" s="362" t="str">
        <f t="shared" si="158"/>
        <v>Пустая строка (убрать галочку)</v>
      </c>
    </row>
    <row r="1337" spans="1:10" hidden="1">
      <c r="A1337" s="29" t="s">
        <v>111</v>
      </c>
      <c r="B1337" s="22"/>
      <c r="C1337" s="22"/>
      <c r="D1337" s="22"/>
      <c r="J1337" s="362" t="str">
        <f t="shared" si="158"/>
        <v>Пустая строка (убрать галочку)</v>
      </c>
    </row>
    <row r="1338" spans="1:10" hidden="1">
      <c r="A1338" s="383" t="s">
        <v>112</v>
      </c>
      <c r="B1338" s="383"/>
      <c r="C1338" s="383"/>
      <c r="D1338" s="383"/>
      <c r="J1338" s="362" t="str">
        <f t="shared" si="158"/>
        <v>Пустая строка (убрать галочку)</v>
      </c>
    </row>
    <row r="1339" spans="1:10" ht="47.25" hidden="1">
      <c r="A1339" s="68" t="s">
        <v>67</v>
      </c>
      <c r="B1339" s="68" t="s">
        <v>98</v>
      </c>
      <c r="C1339" s="377" t="str">
        <f>CONCATENATE("Стоимость  согласно сметной документации (руб.) в текущих ценах по состоянию на ",VLOOKUP($F$48,таблица,5,0)," г.")</f>
        <v>Стоимость  согласно сметной документации (руб.) в текущих ценах по состоянию на  г.</v>
      </c>
      <c r="D1339" s="378"/>
      <c r="H1339" s="44" t="str">
        <f>C1339</f>
        <v>Стоимость  согласно сметной документации (руб.) в текущих ценах по состоянию на  г.</v>
      </c>
      <c r="J1339" s="362" t="str">
        <f t="shared" si="158"/>
        <v>Пустая строка (убрать галочку)</v>
      </c>
    </row>
    <row r="1340" spans="1:10" hidden="1">
      <c r="A1340" s="33">
        <v>1</v>
      </c>
      <c r="B1340" s="32" t="s">
        <v>46</v>
      </c>
      <c r="C1340" s="379">
        <f>VLOOKUP($F$48,таблица,10,0)</f>
        <v>0</v>
      </c>
      <c r="D1340" s="380"/>
      <c r="J1340" s="362" t="str">
        <f t="shared" si="158"/>
        <v>Пустая строка (убрать галочку)</v>
      </c>
    </row>
    <row r="1341" spans="1:10" hidden="1">
      <c r="A1341" s="33">
        <v>2</v>
      </c>
      <c r="B1341" s="32" t="s">
        <v>41</v>
      </c>
      <c r="C1341" s="379">
        <f>VLOOKUP($F$48,таблица,11,0)</f>
        <v>0</v>
      </c>
      <c r="D1341" s="380"/>
      <c r="J1341" s="362" t="str">
        <f t="shared" si="158"/>
        <v>Пустая строка (убрать галочку)</v>
      </c>
    </row>
    <row r="1342" spans="1:10" ht="31.5" hidden="1">
      <c r="A1342" s="33">
        <v>3</v>
      </c>
      <c r="B1342" s="32" t="s">
        <v>3</v>
      </c>
      <c r="C1342" s="379">
        <f>VLOOKUP($F$48,таблица,12,0)</f>
        <v>0</v>
      </c>
      <c r="D1342" s="380"/>
      <c r="J1342" s="362" t="str">
        <f t="shared" si="158"/>
        <v>Пустая строка (убрать галочку)</v>
      </c>
    </row>
    <row r="1343" spans="1:10" hidden="1">
      <c r="A1343" s="33">
        <v>4</v>
      </c>
      <c r="B1343" s="32" t="s">
        <v>42</v>
      </c>
      <c r="C1343" s="379">
        <f>VLOOKUP($F$48,таблица,13,0)</f>
        <v>0</v>
      </c>
      <c r="D1343" s="380"/>
      <c r="J1343" s="362" t="str">
        <f t="shared" si="158"/>
        <v>Пустая строка (убрать галочку)</v>
      </c>
    </row>
    <row r="1344" spans="1:10" hidden="1">
      <c r="A1344" s="33">
        <v>5</v>
      </c>
      <c r="B1344" s="32" t="s">
        <v>5</v>
      </c>
      <c r="C1344" s="379">
        <f>VLOOKUP($F$48,таблица,14,0)</f>
        <v>0</v>
      </c>
      <c r="D1344" s="380"/>
      <c r="J1344" s="362" t="str">
        <f t="shared" si="158"/>
        <v>Пустая строка (убрать галочку)</v>
      </c>
    </row>
    <row r="1345" spans="1:10" hidden="1">
      <c r="A1345" s="33">
        <v>6</v>
      </c>
      <c r="B1345" s="32" t="s">
        <v>12</v>
      </c>
      <c r="C1345" s="379">
        <f>VLOOKUP($F$48,таблица,18,0)</f>
        <v>0</v>
      </c>
      <c r="D1345" s="380"/>
      <c r="J1345" s="362" t="str">
        <f t="shared" si="158"/>
        <v>Пустая строка (убрать галочку)</v>
      </c>
    </row>
    <row r="1346" spans="1:10" hidden="1">
      <c r="A1346" s="33">
        <v>7</v>
      </c>
      <c r="B1346" s="32" t="s">
        <v>88</v>
      </c>
      <c r="C1346" s="379">
        <f>VLOOKUP($F$48,таблица,19,0)+VLOOKUP($F$48,таблица,21,0)+VLOOKUP($F$48,таблица,22,0)+VLOOKUP($F$48,таблица,23,0)+VLOOKUP($F$48,таблица,24,0)+VLOOKUP($F$48,таблица,25,0)+VLOOKUP($F$48,таблица,26,0)</f>
        <v>0</v>
      </c>
      <c r="D1346" s="380"/>
      <c r="J1346" s="362" t="str">
        <f t="shared" si="158"/>
        <v>Пустая строка (убрать галочку)</v>
      </c>
    </row>
    <row r="1347" spans="1:10" hidden="1">
      <c r="A1347" s="33">
        <v>8</v>
      </c>
      <c r="B1347" s="32" t="s">
        <v>62</v>
      </c>
      <c r="C1347" s="379">
        <f>VLOOKUP($F$48,таблица,31,0)</f>
        <v>0</v>
      </c>
      <c r="D1347" s="380"/>
      <c r="J1347" s="362" t="str">
        <f t="shared" si="158"/>
        <v>Пустая строка (убрать галочку)</v>
      </c>
    </row>
    <row r="1348" spans="1:10" hidden="1">
      <c r="A1348" s="33">
        <v>9</v>
      </c>
      <c r="B1348" s="32" t="s">
        <v>127</v>
      </c>
      <c r="C1348" s="379">
        <f>SUM(C1340:D1347)</f>
        <v>0</v>
      </c>
      <c r="D1348" s="380"/>
      <c r="J1348" s="362" t="str">
        <f t="shared" si="158"/>
        <v>Пустая строка (убрать галочку)</v>
      </c>
    </row>
    <row r="1349" spans="1:10" hidden="1">
      <c r="A1349" s="384" t="s">
        <v>122</v>
      </c>
      <c r="B1349" s="384"/>
      <c r="C1349" s="384"/>
      <c r="D1349" s="384"/>
      <c r="J1349" s="362" t="str">
        <f t="shared" si="158"/>
        <v>Пустая строка (убрать галочку)</v>
      </c>
    </row>
    <row r="1350" spans="1:10" ht="31.5" hidden="1">
      <c r="A1350" s="35" t="s">
        <v>67</v>
      </c>
      <c r="B1350" s="68" t="s">
        <v>21</v>
      </c>
      <c r="C1350" s="68" t="s">
        <v>114</v>
      </c>
      <c r="D1350" s="68" t="s">
        <v>99</v>
      </c>
      <c r="J1350" s="362" t="str">
        <f t="shared" si="158"/>
        <v>Пустая строка (убрать галочку)</v>
      </c>
    </row>
    <row r="1351" spans="1:10" hidden="1">
      <c r="A1351" s="33">
        <v>10</v>
      </c>
      <c r="B1351" s="33" t="e">
        <f>VLOOKUP((VLOOKUP($F$48,таблица,8,0)),рем_содер,2,0)</f>
        <v>#N/A</v>
      </c>
      <c r="C1351" s="33"/>
      <c r="D1351" s="32"/>
      <c r="J1351" s="362" t="str">
        <f t="shared" si="158"/>
        <v>Пустая строка (убрать галочку)</v>
      </c>
    </row>
    <row r="1352" spans="1:10" hidden="1">
      <c r="A1352" s="33">
        <f>IF(D1352=0,0,A1351+1)</f>
        <v>0</v>
      </c>
      <c r="B1352" s="32" t="e">
        <f>CONCATENATE('Анализ стоимости'!$AW$1," г (",CHOOSE(VLOOKUP($F$48,таблица,43,0),"Январь","Февраль","Март","Апрель","Май","Июнь","Июль","Август","Сентябрь","Октябрь","Ноябрь","Декабрь")," - ",CHOOSE(VLOOKUP($F$48,таблица,44,0),"Январь","Февраль","Март","Апрель","Май","Июнь","Июль","Август","Сентябрь","Октябрь","Ноябрь","Декабрь"),")")</f>
        <v>#VALUE!</v>
      </c>
      <c r="C1352" s="33" t="s">
        <v>115</v>
      </c>
      <c r="D1352" s="55">
        <f>IF(D1354=0,0,VLOOKUP($F$48,таблица,49,0)*100+100)</f>
        <v>0</v>
      </c>
      <c r="J1352" s="362" t="str">
        <f>IF(D1352=0,"Пустая строка (убрать галочку)",1)</f>
        <v>Пустая строка (убрать галочку)</v>
      </c>
    </row>
    <row r="1353" spans="1:10" hidden="1">
      <c r="A1353" s="33">
        <f>IF(D1353=0,0,IF(D1352=0,A1351+1,A1352+1))</f>
        <v>0</v>
      </c>
      <c r="B1353" s="32" t="e">
        <f>CONCATENATE('Анализ стоимости'!$AX$1," г (",CHOOSE(VLOOKUP($F$48,таблица,45,0),"Январь","Февраль","Март","Апрель","Май","Июнь","Июль","Август","Сентябрь","Октябрь","Ноябрь","Декабрь")," - ",CHOOSE(VLOOKUP($F$48,таблица,46,0),"Январь","Февраль","Март","Апрель","Май","Июнь","Июль","Август","Сентябрь","Октябрь","Ноябрь","Декабрь"),")")</f>
        <v>#VALUE!</v>
      </c>
      <c r="C1353" s="33" t="s">
        <v>115</v>
      </c>
      <c r="D1353" s="55">
        <f>IF(D1355=0,0,VLOOKUP($F$48,таблица,50,0)*100+100)</f>
        <v>0</v>
      </c>
      <c r="J1353" s="362" t="str">
        <f>IF(D1353=0,"Пустая строка (убрать галочку)",1)</f>
        <v>Пустая строка (убрать галочку)</v>
      </c>
    </row>
    <row r="1354" spans="1:10" hidden="1">
      <c r="A1354" s="33">
        <f>IF(D1354=0,0,IF(D1353=0,A1352+1,A1353+1))</f>
        <v>0</v>
      </c>
      <c r="B1354" s="32" t="str">
        <f>"Рост стоимости "&amp;'Анализ стоимости'!$AW$1&amp;" г."</f>
        <v>Рост стоимости 2018 г.</v>
      </c>
      <c r="C1354" s="33" t="s">
        <v>116</v>
      </c>
      <c r="D1354" s="34">
        <f>VLOOKUP($F$48,таблица,38,0)</f>
        <v>0</v>
      </c>
      <c r="J1354" s="362" t="str">
        <f>IF(D1354=0,"Пустая строка (убрать галочку)",1)</f>
        <v>Пустая строка (убрать галочку)</v>
      </c>
    </row>
    <row r="1355" spans="1:10" hidden="1">
      <c r="A1355" s="33">
        <f>IF(D1355=0,0,IF(D1354=0,A1353+1,A1354+1))</f>
        <v>0</v>
      </c>
      <c r="B1355" s="32" t="str">
        <f>"Рост стоимости "&amp;'Анализ стоимости'!$AX$1&amp;" г."</f>
        <v>Рост стоимости 2019 г.</v>
      </c>
      <c r="C1355" s="33" t="s">
        <v>116</v>
      </c>
      <c r="D1355" s="34">
        <f>VLOOKUP($F$48,таблица,40,0)</f>
        <v>0</v>
      </c>
      <c r="J1355" s="362" t="str">
        <f>IF(D1355=0,"Пустая строка (убрать галочку)",1)</f>
        <v>Пустая строка (убрать галочку)</v>
      </c>
    </row>
    <row r="1356" spans="1:10" hidden="1">
      <c r="A1356" s="384" t="s">
        <v>117</v>
      </c>
      <c r="B1356" s="384"/>
      <c r="C1356" s="384"/>
      <c r="D1356" s="384"/>
      <c r="J1356" s="362" t="str">
        <f>IF($F$48=0,"Пустая строка (убрать галочку)",1)</f>
        <v>Пустая строка (убрать галочку)</v>
      </c>
    </row>
    <row r="1357" spans="1:10" ht="31.5" hidden="1">
      <c r="A1357" s="33">
        <f>IF(D1357=0,0,IF(D1355=0,IF(D1354=0,A1351+1,A1354+1),A1355+1))</f>
        <v>0</v>
      </c>
      <c r="B135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357" s="33" t="s">
        <v>116</v>
      </c>
      <c r="D1357" s="34">
        <f>SUM(VLOOKUP($F$48,таблица,37,0),D1354)</f>
        <v>0</v>
      </c>
      <c r="E1357" s="7"/>
      <c r="J1357" s="362" t="str">
        <f t="shared" ref="J1357:J1363" si="159">IF(D1357=0,"Пустая строка (убрать галочку)",1)</f>
        <v>Пустая строка (убрать галочку)</v>
      </c>
    </row>
    <row r="1358" spans="1:10" hidden="1">
      <c r="A1358" s="33">
        <f>IF(D1358=0,0,A1357+1)</f>
        <v>0</v>
      </c>
      <c r="B1358" s="45" t="s">
        <v>119</v>
      </c>
      <c r="C1358" s="33" t="s">
        <v>116</v>
      </c>
      <c r="D1358" s="34">
        <f>VLOOKUP($F$48,таблица,39,0)</f>
        <v>0</v>
      </c>
      <c r="E1358" s="7"/>
      <c r="J1358" s="362" t="str">
        <f t="shared" si="159"/>
        <v>Пустая строка (убрать галочку)</v>
      </c>
    </row>
    <row r="1359" spans="1:10" hidden="1">
      <c r="A1359" s="33">
        <f>IF(D1359=0,0,A1358+1)</f>
        <v>0</v>
      </c>
      <c r="B1359" s="45" t="str">
        <f>"Всего с НДС на "&amp;'Анализ стоимости'!$AW$1&amp;" г."</f>
        <v>Всего с НДС на 2018 г.</v>
      </c>
      <c r="C1359" s="33" t="s">
        <v>116</v>
      </c>
      <c r="D1359" s="46">
        <f>SUM(D1357:D1358)</f>
        <v>0</v>
      </c>
      <c r="E1359" s="56">
        <f>VLOOKUP($F$48,таблица,51,0)</f>
        <v>0</v>
      </c>
      <c r="J1359" s="362" t="str">
        <f t="shared" si="159"/>
        <v>Пустая строка (убрать галочку)</v>
      </c>
    </row>
    <row r="1360" spans="1:10" ht="31.5" hidden="1">
      <c r="A1360" s="33">
        <f>IF(D1360=0,0,IF(D1359=0,IF(D1355=0,A1351+1,A1355+1),A1359+1))</f>
        <v>0</v>
      </c>
      <c r="B136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360" s="33" t="s">
        <v>116</v>
      </c>
      <c r="D1360" s="34">
        <f>VLOOKUP($F$48,таблица,36,0)-VLOOKUP($F$48,таблица,37,0)+D1355</f>
        <v>0</v>
      </c>
      <c r="J1360" s="362" t="str">
        <f t="shared" si="159"/>
        <v>Пустая строка (убрать галочку)</v>
      </c>
    </row>
    <row r="1361" spans="1:10" hidden="1">
      <c r="A1361" s="33">
        <f>IF(D1361=0,0,A1360+1)</f>
        <v>0</v>
      </c>
      <c r="B1361" s="45" t="s">
        <v>119</v>
      </c>
      <c r="C1361" s="33" t="s">
        <v>116</v>
      </c>
      <c r="D1361" s="34">
        <f>VLOOKUP($F$48,таблица,41,0)</f>
        <v>0</v>
      </c>
      <c r="J1361" s="362" t="str">
        <f t="shared" si="159"/>
        <v>Пустая строка (убрать галочку)</v>
      </c>
    </row>
    <row r="1362" spans="1:10" hidden="1">
      <c r="A1362" s="33">
        <f>IF(D1362=0,0,A1361+1)</f>
        <v>0</v>
      </c>
      <c r="B1362" s="45" t="str">
        <f>"Всего с НДС на "&amp;'Анализ стоимости'!$AX$1&amp;" г."</f>
        <v>Всего с НДС на 2019 г.</v>
      </c>
      <c r="C1362" s="33" t="s">
        <v>116</v>
      </c>
      <c r="D1362" s="46">
        <f>SUM(D1360:D1361)</f>
        <v>0</v>
      </c>
      <c r="E1362" s="56">
        <f>VLOOKUP($F$48,таблица,52,0)</f>
        <v>0</v>
      </c>
      <c r="J1362" s="362" t="str">
        <f t="shared" si="159"/>
        <v>Пустая строка (убрать галочку)</v>
      </c>
    </row>
    <row r="1363" spans="1:10" hidden="1">
      <c r="A1363" s="33">
        <f>IF(D1363=0,0,A1362+1)</f>
        <v>0</v>
      </c>
      <c r="B1363" s="45" t="s">
        <v>118</v>
      </c>
      <c r="C1363" s="33" t="s">
        <v>116</v>
      </c>
      <c r="D1363" s="46">
        <f>IF(OR(D1359=0,D1362=0),0,D1362+D1359)</f>
        <v>0</v>
      </c>
      <c r="E1363" s="56">
        <f>VLOOKUP($F$48,таблица,42,0)</f>
        <v>0</v>
      </c>
      <c r="J1363" s="362" t="str">
        <f t="shared" si="159"/>
        <v>Пустая строка (убрать галочку)</v>
      </c>
    </row>
    <row r="1364" spans="1:10" hidden="1">
      <c r="A1364" s="13"/>
      <c r="B1364" s="13"/>
      <c r="C1364" s="13"/>
      <c r="D1364" s="14"/>
      <c r="J1364" s="362" t="str">
        <f>IF($F$48=0,"Пустая строка (убрать галочку)",1)</f>
        <v>Пустая строка (убрать галочку)</v>
      </c>
    </row>
    <row r="1365" spans="1:10" ht="47.25" hidden="1" customHeight="1">
      <c r="A136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365" s="382"/>
      <c r="C1365" s="67"/>
      <c r="D1365" s="48" t="str">
        <f>'Анализ стоимости'!$I$101</f>
        <v>Шестопал О.Н.</v>
      </c>
      <c r="G1365" s="43" t="str">
        <f>A1365</f>
        <v>Специалист администрации Старонижестеблиевского сельского поселения Красноармейского района</v>
      </c>
      <c r="J1365" s="362" t="str">
        <f>IF($F$48=0,"Пустая строка (убрать галочку)",1)</f>
        <v>Пустая строка (убрать галочку)</v>
      </c>
    </row>
    <row r="1366" spans="1:10" hidden="1">
      <c r="A1366" s="49"/>
      <c r="B1366" s="49"/>
      <c r="C1366" s="49"/>
      <c r="D1366" s="50"/>
      <c r="J1366" s="362" t="str">
        <f>IF($F$48=0,"Пустая строка (убрать галочку)",1)</f>
        <v>Пустая строка (убрать галочку)</v>
      </c>
    </row>
    <row r="1367" spans="1:10" hidden="1">
      <c r="A1367" s="375"/>
      <c r="B1367" s="375"/>
      <c r="C1367" s="3"/>
      <c r="D1367" s="3"/>
      <c r="J1367" s="362" t="str">
        <f>IF($F$48=0,"Пустая строка (убрать галочку)",1)</f>
        <v>Пустая строка (убрать галочку)</v>
      </c>
    </row>
    <row r="1368" spans="1:10" hidden="1">
      <c r="A1368" s="385" t="s">
        <v>183</v>
      </c>
      <c r="B1368" s="385"/>
      <c r="C1368" s="385"/>
      <c r="D1368" s="385"/>
      <c r="G1368" s="37"/>
      <c r="H1368" s="37"/>
      <c r="J1368" s="362" t="str">
        <f t="shared" ref="J1368:J1385" si="160">IF($F$49=0,"Пустая строка (убрать галочку)",1)</f>
        <v>Пустая строка (убрать галочку)</v>
      </c>
    </row>
    <row r="1369" spans="1:10" ht="47.25" hidden="1" customHeight="1">
      <c r="A1369" s="376" t="str">
        <f>CONCATENATE("Наименование объекта: ",VLOOKUP($F$49,таблица,9,0))</f>
        <v xml:space="preserve">Наименование объекта: </v>
      </c>
      <c r="B1369" s="376"/>
      <c r="C1369" s="376"/>
      <c r="D1369" s="376"/>
      <c r="I1369" s="58" t="str">
        <f>A1369</f>
        <v xml:space="preserve">Наименование объекта: </v>
      </c>
      <c r="J1369" s="362" t="str">
        <f t="shared" si="160"/>
        <v>Пустая строка (убрать галочку)</v>
      </c>
    </row>
    <row r="1370" spans="1:10" hidden="1">
      <c r="A1370" s="30"/>
      <c r="B1370" s="25"/>
      <c r="C1370" s="25"/>
      <c r="D1370" s="25"/>
      <c r="J1370" s="362" t="str">
        <f t="shared" si="160"/>
        <v>Пустая строка (убрать галочку)</v>
      </c>
    </row>
    <row r="1371" spans="1:10" hidden="1">
      <c r="A1371" s="29" t="s">
        <v>111</v>
      </c>
      <c r="B1371" s="22"/>
      <c r="C1371" s="22"/>
      <c r="D1371" s="22"/>
      <c r="J1371" s="362" t="str">
        <f t="shared" si="160"/>
        <v>Пустая строка (убрать галочку)</v>
      </c>
    </row>
    <row r="1372" spans="1:10" hidden="1">
      <c r="A1372" s="383" t="s">
        <v>112</v>
      </c>
      <c r="B1372" s="383"/>
      <c r="C1372" s="383"/>
      <c r="D1372" s="383"/>
      <c r="J1372" s="362" t="str">
        <f t="shared" si="160"/>
        <v>Пустая строка (убрать галочку)</v>
      </c>
    </row>
    <row r="1373" spans="1:10" ht="47.25" hidden="1">
      <c r="A1373" s="68" t="s">
        <v>67</v>
      </c>
      <c r="B1373" s="68" t="s">
        <v>98</v>
      </c>
      <c r="C1373" s="377" t="str">
        <f>CONCATENATE("Стоимость  согласно сметной документации (руб.) в текущих ценах по состоянию на ",VLOOKUP($F$49,таблица,5,0)," г.")</f>
        <v>Стоимость  согласно сметной документации (руб.) в текущих ценах по состоянию на  г.</v>
      </c>
      <c r="D1373" s="378"/>
      <c r="H1373" s="44" t="str">
        <f>C1373</f>
        <v>Стоимость  согласно сметной документации (руб.) в текущих ценах по состоянию на  г.</v>
      </c>
      <c r="J1373" s="362" t="str">
        <f t="shared" si="160"/>
        <v>Пустая строка (убрать галочку)</v>
      </c>
    </row>
    <row r="1374" spans="1:10" hidden="1">
      <c r="A1374" s="33">
        <v>1</v>
      </c>
      <c r="B1374" s="32" t="s">
        <v>46</v>
      </c>
      <c r="C1374" s="379">
        <f>VLOOKUP($F$49,таблица,10,0)</f>
        <v>0</v>
      </c>
      <c r="D1374" s="380"/>
      <c r="J1374" s="362" t="str">
        <f t="shared" si="160"/>
        <v>Пустая строка (убрать галочку)</v>
      </c>
    </row>
    <row r="1375" spans="1:10" hidden="1">
      <c r="A1375" s="33">
        <v>2</v>
      </c>
      <c r="B1375" s="32" t="s">
        <v>41</v>
      </c>
      <c r="C1375" s="379">
        <f>VLOOKUP($F$49,таблица,11,0)</f>
        <v>0</v>
      </c>
      <c r="D1375" s="380"/>
      <c r="J1375" s="362" t="str">
        <f t="shared" si="160"/>
        <v>Пустая строка (убрать галочку)</v>
      </c>
    </row>
    <row r="1376" spans="1:10" ht="31.5" hidden="1">
      <c r="A1376" s="33">
        <v>3</v>
      </c>
      <c r="B1376" s="32" t="s">
        <v>3</v>
      </c>
      <c r="C1376" s="379">
        <f>VLOOKUP($F$49,таблица,12,0)</f>
        <v>0</v>
      </c>
      <c r="D1376" s="380"/>
      <c r="J1376" s="362" t="str">
        <f t="shared" si="160"/>
        <v>Пустая строка (убрать галочку)</v>
      </c>
    </row>
    <row r="1377" spans="1:10" hidden="1">
      <c r="A1377" s="33">
        <v>4</v>
      </c>
      <c r="B1377" s="32" t="s">
        <v>42</v>
      </c>
      <c r="C1377" s="379">
        <f>VLOOKUP($F$49,таблица,13,0)</f>
        <v>0</v>
      </c>
      <c r="D1377" s="380"/>
      <c r="J1377" s="362" t="str">
        <f t="shared" si="160"/>
        <v>Пустая строка (убрать галочку)</v>
      </c>
    </row>
    <row r="1378" spans="1:10" hidden="1">
      <c r="A1378" s="33">
        <v>5</v>
      </c>
      <c r="B1378" s="32" t="s">
        <v>5</v>
      </c>
      <c r="C1378" s="379">
        <f>VLOOKUP($F$49,таблица,14,0)</f>
        <v>0</v>
      </c>
      <c r="D1378" s="380"/>
      <c r="J1378" s="362" t="str">
        <f t="shared" si="160"/>
        <v>Пустая строка (убрать галочку)</v>
      </c>
    </row>
    <row r="1379" spans="1:10" hidden="1">
      <c r="A1379" s="33">
        <v>6</v>
      </c>
      <c r="B1379" s="32" t="s">
        <v>12</v>
      </c>
      <c r="C1379" s="379">
        <f>VLOOKUP($F$49,таблица,18,0)</f>
        <v>0</v>
      </c>
      <c r="D1379" s="380"/>
      <c r="J1379" s="362" t="str">
        <f t="shared" si="160"/>
        <v>Пустая строка (убрать галочку)</v>
      </c>
    </row>
    <row r="1380" spans="1:10" hidden="1">
      <c r="A1380" s="33">
        <v>7</v>
      </c>
      <c r="B1380" s="32" t="s">
        <v>88</v>
      </c>
      <c r="C1380" s="379">
        <f>VLOOKUP($F$49,таблица,19,0)+VLOOKUP($F$49,таблица,21,0)+VLOOKUP($F$49,таблица,22,0)+VLOOKUP($F$49,таблица,23,0)+VLOOKUP($F$49,таблица,24,0)+VLOOKUP($F$49,таблица,25,0)+VLOOKUP($F$49,таблица,26,0)</f>
        <v>0</v>
      </c>
      <c r="D1380" s="380"/>
      <c r="J1380" s="362" t="str">
        <f t="shared" si="160"/>
        <v>Пустая строка (убрать галочку)</v>
      </c>
    </row>
    <row r="1381" spans="1:10" hidden="1">
      <c r="A1381" s="33">
        <v>8</v>
      </c>
      <c r="B1381" s="32" t="s">
        <v>62</v>
      </c>
      <c r="C1381" s="379">
        <f>VLOOKUP($F$49,таблица,31,0)</f>
        <v>0</v>
      </c>
      <c r="D1381" s="380"/>
      <c r="J1381" s="362" t="str">
        <f t="shared" si="160"/>
        <v>Пустая строка (убрать галочку)</v>
      </c>
    </row>
    <row r="1382" spans="1:10" hidden="1">
      <c r="A1382" s="33">
        <v>9</v>
      </c>
      <c r="B1382" s="32" t="s">
        <v>127</v>
      </c>
      <c r="C1382" s="379">
        <f>SUM(C1374:D1381)</f>
        <v>0</v>
      </c>
      <c r="D1382" s="380"/>
      <c r="J1382" s="362" t="str">
        <f t="shared" si="160"/>
        <v>Пустая строка (убрать галочку)</v>
      </c>
    </row>
    <row r="1383" spans="1:10" hidden="1">
      <c r="A1383" s="384" t="s">
        <v>122</v>
      </c>
      <c r="B1383" s="384"/>
      <c r="C1383" s="384"/>
      <c r="D1383" s="384"/>
      <c r="J1383" s="362" t="str">
        <f t="shared" si="160"/>
        <v>Пустая строка (убрать галочку)</v>
      </c>
    </row>
    <row r="1384" spans="1:10" ht="31.5" hidden="1">
      <c r="A1384" s="35" t="s">
        <v>67</v>
      </c>
      <c r="B1384" s="68" t="s">
        <v>21</v>
      </c>
      <c r="C1384" s="68" t="s">
        <v>114</v>
      </c>
      <c r="D1384" s="68" t="s">
        <v>99</v>
      </c>
      <c r="J1384" s="362" t="str">
        <f t="shared" si="160"/>
        <v>Пустая строка (убрать галочку)</v>
      </c>
    </row>
    <row r="1385" spans="1:10" hidden="1">
      <c r="A1385" s="33">
        <v>10</v>
      </c>
      <c r="B1385" s="33" t="e">
        <f>VLOOKUP((VLOOKUP($F$49,таблица,8,0)),рем_содер,2,0)</f>
        <v>#N/A</v>
      </c>
      <c r="C1385" s="33"/>
      <c r="D1385" s="32"/>
      <c r="J1385" s="362" t="str">
        <f t="shared" si="160"/>
        <v>Пустая строка (убрать галочку)</v>
      </c>
    </row>
    <row r="1386" spans="1:10" hidden="1">
      <c r="A1386" s="33">
        <f>IF(D1386=0,0,A1385+1)</f>
        <v>0</v>
      </c>
      <c r="B1386" s="32" t="e">
        <f>CONCATENATE('Анализ стоимости'!$AW$1," г (",CHOOSE(VLOOKUP($F$49,таблица,43,0),"Январь","Февраль","Март","Апрель","Май","Июнь","Июль","Август","Сентябрь","Октябрь","Ноябрь","Декабрь")," - ",CHOOSE(VLOOKUP($F$49,таблица,44,0),"Январь","Февраль","Март","Апрель","Май","Июнь","Июль","Август","Сентябрь","Октябрь","Ноябрь","Декабрь"),")")</f>
        <v>#VALUE!</v>
      </c>
      <c r="C1386" s="33" t="s">
        <v>115</v>
      </c>
      <c r="D1386" s="55">
        <f>IF(D1388=0,0,VLOOKUP($F$49,таблица,49,0)*100+100)</f>
        <v>0</v>
      </c>
      <c r="J1386" s="362" t="str">
        <f>IF(D1386=0,"Пустая строка (убрать галочку)",1)</f>
        <v>Пустая строка (убрать галочку)</v>
      </c>
    </row>
    <row r="1387" spans="1:10" hidden="1">
      <c r="A1387" s="33">
        <f>IF(D1387=0,0,IF(D1386=0,A1385+1,A1386+1))</f>
        <v>0</v>
      </c>
      <c r="B1387" s="32" t="e">
        <f>CONCATENATE('Анализ стоимости'!$AX$1," г (",CHOOSE(VLOOKUP($F$49,таблица,45,0),"Январь","Февраль","Март","Апрель","Май","Июнь","Июль","Август","Сентябрь","Октябрь","Ноябрь","Декабрь")," - ",CHOOSE(VLOOKUP($F$49,таблица,46,0),"Январь","Февраль","Март","Апрель","Май","Июнь","Июль","Август","Сентябрь","Октябрь","Ноябрь","Декабрь"),")")</f>
        <v>#VALUE!</v>
      </c>
      <c r="C1387" s="33" t="s">
        <v>115</v>
      </c>
      <c r="D1387" s="55">
        <f>IF(D1389=0,0,VLOOKUP($F$49,таблица,50,0)*100+100)</f>
        <v>0</v>
      </c>
      <c r="J1387" s="362" t="str">
        <f>IF(D1387=0,"Пустая строка (убрать галочку)",1)</f>
        <v>Пустая строка (убрать галочку)</v>
      </c>
    </row>
    <row r="1388" spans="1:10" hidden="1">
      <c r="A1388" s="33">
        <f>IF(D1388=0,0,IF(D1387=0,A1386+1,A1387+1))</f>
        <v>0</v>
      </c>
      <c r="B1388" s="32" t="str">
        <f>"Рост стоимости "&amp;'Анализ стоимости'!$AW$1&amp;" г."</f>
        <v>Рост стоимости 2018 г.</v>
      </c>
      <c r="C1388" s="33" t="s">
        <v>116</v>
      </c>
      <c r="D1388" s="34">
        <f>VLOOKUP($F$49,таблица,38,0)</f>
        <v>0</v>
      </c>
      <c r="J1388" s="362" t="str">
        <f>IF(D1388=0,"Пустая строка (убрать галочку)",1)</f>
        <v>Пустая строка (убрать галочку)</v>
      </c>
    </row>
    <row r="1389" spans="1:10" hidden="1">
      <c r="A1389" s="33">
        <f>IF(D1389=0,0,IF(D1388=0,A1387+1,A1388+1))</f>
        <v>0</v>
      </c>
      <c r="B1389" s="32" t="str">
        <f>"Рост стоимости "&amp;'Анализ стоимости'!$AX$1&amp;" г."</f>
        <v>Рост стоимости 2019 г.</v>
      </c>
      <c r="C1389" s="33" t="s">
        <v>116</v>
      </c>
      <c r="D1389" s="34">
        <f>VLOOKUP($F$49,таблица,40,0)</f>
        <v>0</v>
      </c>
      <c r="J1389" s="362" t="str">
        <f>IF(D1389=0,"Пустая строка (убрать галочку)",1)</f>
        <v>Пустая строка (убрать галочку)</v>
      </c>
    </row>
    <row r="1390" spans="1:10" hidden="1">
      <c r="A1390" s="384" t="s">
        <v>117</v>
      </c>
      <c r="B1390" s="384"/>
      <c r="C1390" s="384"/>
      <c r="D1390" s="384"/>
      <c r="J1390" s="362" t="str">
        <f>IF($F$49=0,"Пустая строка (убрать галочку)",1)</f>
        <v>Пустая строка (убрать галочку)</v>
      </c>
    </row>
    <row r="1391" spans="1:10" ht="31.5" hidden="1">
      <c r="A1391" s="33">
        <f>IF(D1391=0,0,IF(D1389=0,IF(D1388=0,A1385+1,A1388+1),A1389+1))</f>
        <v>0</v>
      </c>
      <c r="B139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391" s="33" t="s">
        <v>116</v>
      </c>
      <c r="D1391" s="34">
        <f>SUM(VLOOKUP($F$49,таблица,37,0),D1388)</f>
        <v>0</v>
      </c>
      <c r="E1391" s="7"/>
      <c r="J1391" s="362" t="str">
        <f t="shared" ref="J1391:J1397" si="161">IF(D1391=0,"Пустая строка (убрать галочку)",1)</f>
        <v>Пустая строка (убрать галочку)</v>
      </c>
    </row>
    <row r="1392" spans="1:10" hidden="1">
      <c r="A1392" s="33">
        <f>IF(D1392=0,0,A1391+1)</f>
        <v>0</v>
      </c>
      <c r="B1392" s="45" t="s">
        <v>119</v>
      </c>
      <c r="C1392" s="33" t="s">
        <v>116</v>
      </c>
      <c r="D1392" s="34">
        <f>VLOOKUP($F$49,таблица,39,0)</f>
        <v>0</v>
      </c>
      <c r="E1392" s="7"/>
      <c r="J1392" s="362" t="str">
        <f t="shared" si="161"/>
        <v>Пустая строка (убрать галочку)</v>
      </c>
    </row>
    <row r="1393" spans="1:10" hidden="1">
      <c r="A1393" s="33">
        <f>IF(D1393=0,0,A1392+1)</f>
        <v>0</v>
      </c>
      <c r="B1393" s="45" t="str">
        <f>"Всего с НДС на "&amp;'Анализ стоимости'!$AW$1&amp;" г."</f>
        <v>Всего с НДС на 2018 г.</v>
      </c>
      <c r="C1393" s="33" t="s">
        <v>116</v>
      </c>
      <c r="D1393" s="46">
        <f>SUM(D1391:D1392)</f>
        <v>0</v>
      </c>
      <c r="E1393" s="56">
        <f>VLOOKUP($F$49,таблица,51,0)</f>
        <v>0</v>
      </c>
      <c r="J1393" s="362" t="str">
        <f t="shared" si="161"/>
        <v>Пустая строка (убрать галочку)</v>
      </c>
    </row>
    <row r="1394" spans="1:10" ht="31.5" hidden="1">
      <c r="A1394" s="33">
        <f>IF(D1394=0,0,IF(D1393=0,IF(D1389=0,A1385+1,A1389+1),A1393+1))</f>
        <v>0</v>
      </c>
      <c r="B139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394" s="33" t="s">
        <v>116</v>
      </c>
      <c r="D1394" s="34">
        <f>VLOOKUP($F$49,таблица,36,0)-VLOOKUP($F$49,таблица,37,0)+D1389</f>
        <v>0</v>
      </c>
      <c r="J1394" s="362" t="str">
        <f t="shared" si="161"/>
        <v>Пустая строка (убрать галочку)</v>
      </c>
    </row>
    <row r="1395" spans="1:10" hidden="1">
      <c r="A1395" s="33">
        <f>IF(D1395=0,0,A1394+1)</f>
        <v>0</v>
      </c>
      <c r="B1395" s="45" t="s">
        <v>119</v>
      </c>
      <c r="C1395" s="33" t="s">
        <v>116</v>
      </c>
      <c r="D1395" s="34">
        <f>VLOOKUP($F$49,таблица,41,0)</f>
        <v>0</v>
      </c>
      <c r="J1395" s="362" t="str">
        <f t="shared" si="161"/>
        <v>Пустая строка (убрать галочку)</v>
      </c>
    </row>
    <row r="1396" spans="1:10" hidden="1">
      <c r="A1396" s="33">
        <f>IF(D1396=0,0,A1395+1)</f>
        <v>0</v>
      </c>
      <c r="B1396" s="45" t="str">
        <f>"Всего с НДС на "&amp;'Анализ стоимости'!$AX$1&amp;" г."</f>
        <v>Всего с НДС на 2019 г.</v>
      </c>
      <c r="C1396" s="33" t="s">
        <v>116</v>
      </c>
      <c r="D1396" s="46">
        <f>SUM(D1394:D1395)</f>
        <v>0</v>
      </c>
      <c r="E1396" s="56">
        <f>VLOOKUP($F$49,таблица,52,0)</f>
        <v>0</v>
      </c>
      <c r="J1396" s="362" t="str">
        <f t="shared" si="161"/>
        <v>Пустая строка (убрать галочку)</v>
      </c>
    </row>
    <row r="1397" spans="1:10" hidden="1">
      <c r="A1397" s="33">
        <f>IF(D1397=0,0,A1396+1)</f>
        <v>0</v>
      </c>
      <c r="B1397" s="45" t="s">
        <v>118</v>
      </c>
      <c r="C1397" s="33" t="s">
        <v>116</v>
      </c>
      <c r="D1397" s="46">
        <f>IF(OR(D1393=0,D1396=0),0,D1396+D1393)</f>
        <v>0</v>
      </c>
      <c r="E1397" s="56">
        <f>VLOOKUP($F$49,таблица,42,0)</f>
        <v>0</v>
      </c>
      <c r="J1397" s="362" t="str">
        <f t="shared" si="161"/>
        <v>Пустая строка (убрать галочку)</v>
      </c>
    </row>
    <row r="1398" spans="1:10" hidden="1">
      <c r="A1398" s="13"/>
      <c r="B1398" s="13"/>
      <c r="C1398" s="13"/>
      <c r="D1398" s="14"/>
      <c r="J1398" s="362" t="str">
        <f>IF($F$49=0,"Пустая строка (убрать галочку)",1)</f>
        <v>Пустая строка (убрать галочку)</v>
      </c>
    </row>
    <row r="1399" spans="1:10" ht="47.25" hidden="1" customHeight="1">
      <c r="A139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399" s="382"/>
      <c r="C1399" s="67"/>
      <c r="D1399" s="48" t="str">
        <f>'Анализ стоимости'!$I$101</f>
        <v>Шестопал О.Н.</v>
      </c>
      <c r="G1399" s="43" t="str">
        <f>A1399</f>
        <v>Специалист администрации Старонижестеблиевского сельского поселения Красноармейского района</v>
      </c>
      <c r="J1399" s="362" t="str">
        <f>IF($F$49=0,"Пустая строка (убрать галочку)",1)</f>
        <v>Пустая строка (убрать галочку)</v>
      </c>
    </row>
    <row r="1400" spans="1:10" hidden="1">
      <c r="A1400" s="49"/>
      <c r="B1400" s="49"/>
      <c r="C1400" s="49"/>
      <c r="D1400" s="50"/>
      <c r="J1400" s="362" t="str">
        <f>IF($F$49=0,"Пустая строка (убрать галочку)",1)</f>
        <v>Пустая строка (убрать галочку)</v>
      </c>
    </row>
    <row r="1401" spans="1:10" hidden="1">
      <c r="A1401" s="375"/>
      <c r="B1401" s="375"/>
      <c r="C1401" s="3"/>
      <c r="D1401" s="3"/>
      <c r="J1401" s="362" t="str">
        <f>IF($F$49=0,"Пустая строка (убрать галочку)",1)</f>
        <v>Пустая строка (убрать галочку)</v>
      </c>
    </row>
    <row r="1402" spans="1:10" hidden="1">
      <c r="A1402" s="385" t="s">
        <v>184</v>
      </c>
      <c r="B1402" s="385"/>
      <c r="C1402" s="385"/>
      <c r="D1402" s="385"/>
      <c r="G1402" s="37"/>
      <c r="H1402" s="37"/>
      <c r="J1402" s="362" t="str">
        <f t="shared" ref="J1402:J1419" si="162">IF($F$50=0,"Пустая строка (убрать галочку)",1)</f>
        <v>Пустая строка (убрать галочку)</v>
      </c>
    </row>
    <row r="1403" spans="1:10" ht="47.25" hidden="1" customHeight="1">
      <c r="A1403" s="376" t="str">
        <f>CONCATENATE("Наименование объекта: ",VLOOKUP($F$50,таблица,9,0))</f>
        <v xml:space="preserve">Наименование объекта: </v>
      </c>
      <c r="B1403" s="376"/>
      <c r="C1403" s="376"/>
      <c r="D1403" s="376"/>
      <c r="I1403" s="58" t="str">
        <f>A1403</f>
        <v xml:space="preserve">Наименование объекта: </v>
      </c>
      <c r="J1403" s="362" t="str">
        <f t="shared" si="162"/>
        <v>Пустая строка (убрать галочку)</v>
      </c>
    </row>
    <row r="1404" spans="1:10" hidden="1">
      <c r="A1404" s="30"/>
      <c r="B1404" s="25"/>
      <c r="C1404" s="25"/>
      <c r="D1404" s="25"/>
      <c r="J1404" s="362" t="str">
        <f t="shared" si="162"/>
        <v>Пустая строка (убрать галочку)</v>
      </c>
    </row>
    <row r="1405" spans="1:10" hidden="1">
      <c r="A1405" s="29" t="s">
        <v>111</v>
      </c>
      <c r="B1405" s="22"/>
      <c r="C1405" s="22"/>
      <c r="D1405" s="22"/>
      <c r="J1405" s="362" t="str">
        <f t="shared" si="162"/>
        <v>Пустая строка (убрать галочку)</v>
      </c>
    </row>
    <row r="1406" spans="1:10" hidden="1">
      <c r="A1406" s="383" t="s">
        <v>112</v>
      </c>
      <c r="B1406" s="383"/>
      <c r="C1406" s="383"/>
      <c r="D1406" s="383"/>
      <c r="J1406" s="362" t="str">
        <f t="shared" si="162"/>
        <v>Пустая строка (убрать галочку)</v>
      </c>
    </row>
    <row r="1407" spans="1:10" ht="47.25" hidden="1">
      <c r="A1407" s="68" t="s">
        <v>67</v>
      </c>
      <c r="B1407" s="68" t="s">
        <v>98</v>
      </c>
      <c r="C1407" s="377" t="str">
        <f>CONCATENATE("Стоимость  согласно сметной документации (руб.) в текущих ценах по состоянию на ",VLOOKUP($F$50,таблица,5,0)," г.")</f>
        <v>Стоимость  согласно сметной документации (руб.) в текущих ценах по состоянию на  г.</v>
      </c>
      <c r="D1407" s="378"/>
      <c r="H1407" s="44" t="str">
        <f>C1407</f>
        <v>Стоимость  согласно сметной документации (руб.) в текущих ценах по состоянию на  г.</v>
      </c>
      <c r="J1407" s="362" t="str">
        <f t="shared" si="162"/>
        <v>Пустая строка (убрать галочку)</v>
      </c>
    </row>
    <row r="1408" spans="1:10" hidden="1">
      <c r="A1408" s="33">
        <v>1</v>
      </c>
      <c r="B1408" s="32" t="s">
        <v>46</v>
      </c>
      <c r="C1408" s="379">
        <f>VLOOKUP($F$50,таблица,10,0)</f>
        <v>0</v>
      </c>
      <c r="D1408" s="380"/>
      <c r="J1408" s="362" t="str">
        <f t="shared" si="162"/>
        <v>Пустая строка (убрать галочку)</v>
      </c>
    </row>
    <row r="1409" spans="1:10" hidden="1">
      <c r="A1409" s="33">
        <v>2</v>
      </c>
      <c r="B1409" s="32" t="s">
        <v>41</v>
      </c>
      <c r="C1409" s="379">
        <f>VLOOKUP($F$50,таблица,11,0)</f>
        <v>0</v>
      </c>
      <c r="D1409" s="380"/>
      <c r="J1409" s="362" t="str">
        <f t="shared" si="162"/>
        <v>Пустая строка (убрать галочку)</v>
      </c>
    </row>
    <row r="1410" spans="1:10" ht="31.5" hidden="1">
      <c r="A1410" s="33">
        <v>3</v>
      </c>
      <c r="B1410" s="32" t="s">
        <v>3</v>
      </c>
      <c r="C1410" s="379">
        <f>VLOOKUP($F$50,таблица,12,0)</f>
        <v>0</v>
      </c>
      <c r="D1410" s="380"/>
      <c r="J1410" s="362" t="str">
        <f t="shared" si="162"/>
        <v>Пустая строка (убрать галочку)</v>
      </c>
    </row>
    <row r="1411" spans="1:10" hidden="1">
      <c r="A1411" s="33">
        <v>4</v>
      </c>
      <c r="B1411" s="32" t="s">
        <v>42</v>
      </c>
      <c r="C1411" s="379">
        <f>VLOOKUP($F$50,таблица,13,0)</f>
        <v>0</v>
      </c>
      <c r="D1411" s="380"/>
      <c r="J1411" s="362" t="str">
        <f t="shared" si="162"/>
        <v>Пустая строка (убрать галочку)</v>
      </c>
    </row>
    <row r="1412" spans="1:10" hidden="1">
      <c r="A1412" s="33">
        <v>5</v>
      </c>
      <c r="B1412" s="32" t="s">
        <v>5</v>
      </c>
      <c r="C1412" s="379">
        <f>VLOOKUP($F$50,таблица,14,0)</f>
        <v>0</v>
      </c>
      <c r="D1412" s="380"/>
      <c r="J1412" s="362" t="str">
        <f t="shared" si="162"/>
        <v>Пустая строка (убрать галочку)</v>
      </c>
    </row>
    <row r="1413" spans="1:10" hidden="1">
      <c r="A1413" s="33">
        <v>6</v>
      </c>
      <c r="B1413" s="32" t="s">
        <v>12</v>
      </c>
      <c r="C1413" s="379">
        <f>VLOOKUP($F$50,таблица,18,0)</f>
        <v>0</v>
      </c>
      <c r="D1413" s="380"/>
      <c r="J1413" s="362" t="str">
        <f t="shared" si="162"/>
        <v>Пустая строка (убрать галочку)</v>
      </c>
    </row>
    <row r="1414" spans="1:10" hidden="1">
      <c r="A1414" s="33">
        <v>7</v>
      </c>
      <c r="B1414" s="32" t="s">
        <v>88</v>
      </c>
      <c r="C1414" s="379">
        <f>VLOOKUP($F$50,таблица,19,0)+VLOOKUP($F$50,таблица,21,0)+VLOOKUP($F$50,таблица,22,0)+VLOOKUP($F$50,таблица,23,0)+VLOOKUP($F$50,таблица,24,0)+VLOOKUP($F$50,таблица,25,0)+VLOOKUP($F$50,таблица,26,0)</f>
        <v>0</v>
      </c>
      <c r="D1414" s="380"/>
      <c r="J1414" s="362" t="str">
        <f t="shared" si="162"/>
        <v>Пустая строка (убрать галочку)</v>
      </c>
    </row>
    <row r="1415" spans="1:10" hidden="1">
      <c r="A1415" s="33">
        <v>8</v>
      </c>
      <c r="B1415" s="32" t="s">
        <v>62</v>
      </c>
      <c r="C1415" s="379">
        <f>VLOOKUP($F$50,таблица,31,0)</f>
        <v>0</v>
      </c>
      <c r="D1415" s="380"/>
      <c r="J1415" s="362" t="str">
        <f t="shared" si="162"/>
        <v>Пустая строка (убрать галочку)</v>
      </c>
    </row>
    <row r="1416" spans="1:10" hidden="1">
      <c r="A1416" s="33">
        <v>9</v>
      </c>
      <c r="B1416" s="32" t="s">
        <v>127</v>
      </c>
      <c r="C1416" s="379">
        <f>SUM(C1408:D1415)</f>
        <v>0</v>
      </c>
      <c r="D1416" s="380"/>
      <c r="J1416" s="362" t="str">
        <f t="shared" si="162"/>
        <v>Пустая строка (убрать галочку)</v>
      </c>
    </row>
    <row r="1417" spans="1:10" hidden="1">
      <c r="A1417" s="384" t="s">
        <v>122</v>
      </c>
      <c r="B1417" s="384"/>
      <c r="C1417" s="384"/>
      <c r="D1417" s="384"/>
      <c r="J1417" s="362" t="str">
        <f t="shared" si="162"/>
        <v>Пустая строка (убрать галочку)</v>
      </c>
    </row>
    <row r="1418" spans="1:10" ht="31.5" hidden="1">
      <c r="A1418" s="35" t="s">
        <v>67</v>
      </c>
      <c r="B1418" s="68" t="s">
        <v>21</v>
      </c>
      <c r="C1418" s="68" t="s">
        <v>114</v>
      </c>
      <c r="D1418" s="68" t="s">
        <v>99</v>
      </c>
      <c r="J1418" s="362" t="str">
        <f t="shared" si="162"/>
        <v>Пустая строка (убрать галочку)</v>
      </c>
    </row>
    <row r="1419" spans="1:10" hidden="1">
      <c r="A1419" s="33">
        <v>10</v>
      </c>
      <c r="B1419" s="33" t="e">
        <f>VLOOKUP((VLOOKUP($F$50,таблица,8,0)),рем_содер,2,0)</f>
        <v>#N/A</v>
      </c>
      <c r="C1419" s="33"/>
      <c r="D1419" s="32"/>
      <c r="J1419" s="362" t="str">
        <f t="shared" si="162"/>
        <v>Пустая строка (убрать галочку)</v>
      </c>
    </row>
    <row r="1420" spans="1:10" hidden="1">
      <c r="A1420" s="33">
        <f>IF(D1420=0,0,A1419+1)</f>
        <v>0</v>
      </c>
      <c r="B1420" s="32" t="e">
        <f>CONCATENATE('Анализ стоимости'!$AW$1," г (",CHOOSE(VLOOKUP($F$50,таблица,43,0),"Январь","Февраль","Март","Апрель","Май","Июнь","Июль","Август","Сентябрь","Октябрь","Ноябрь","Декабрь")," - ",CHOOSE(VLOOKUP($F$50,таблица,44,0),"Январь","Февраль","Март","Апрель","Май","Июнь","Июль","Август","Сентябрь","Октябрь","Ноябрь","Декабрь"),")")</f>
        <v>#VALUE!</v>
      </c>
      <c r="C1420" s="33" t="s">
        <v>115</v>
      </c>
      <c r="D1420" s="55">
        <f>IF(D1422=0,0,VLOOKUP($F$50,таблица,49,0)*100+100)</f>
        <v>0</v>
      </c>
      <c r="J1420" s="362" t="str">
        <f>IF(D1420=0,"Пустая строка (убрать галочку)",1)</f>
        <v>Пустая строка (убрать галочку)</v>
      </c>
    </row>
    <row r="1421" spans="1:10" hidden="1">
      <c r="A1421" s="33">
        <f>IF(D1421=0,0,IF(D1420=0,A1419+1,A1420+1))</f>
        <v>0</v>
      </c>
      <c r="B1421" s="32" t="e">
        <f>CONCATENATE('Анализ стоимости'!$AX$1," г (",CHOOSE(VLOOKUP($F$50,таблица,45,0),"Январь","Февраль","Март","Апрель","Май","Июнь","Июль","Август","Сентябрь","Октябрь","Ноябрь","Декабрь")," - ",CHOOSE(VLOOKUP($F$50,таблица,46,0),"Январь","Февраль","Март","Апрель","Май","Июнь","Июль","Август","Сентябрь","Октябрь","Ноябрь","Декабрь"),")")</f>
        <v>#VALUE!</v>
      </c>
      <c r="C1421" s="33" t="s">
        <v>115</v>
      </c>
      <c r="D1421" s="55">
        <f>IF(D1423=0,0,VLOOKUP($F$50,таблица,50,0)*100+100)</f>
        <v>0</v>
      </c>
      <c r="J1421" s="362" t="str">
        <f>IF(D1421=0,"Пустая строка (убрать галочку)",1)</f>
        <v>Пустая строка (убрать галочку)</v>
      </c>
    </row>
    <row r="1422" spans="1:10" hidden="1">
      <c r="A1422" s="33">
        <f>IF(D1422=0,0,IF(D1421=0,A1420+1,A1421+1))</f>
        <v>0</v>
      </c>
      <c r="B1422" s="32" t="str">
        <f>"Рост стоимости "&amp;'Анализ стоимости'!$AW$1&amp;" г."</f>
        <v>Рост стоимости 2018 г.</v>
      </c>
      <c r="C1422" s="33" t="s">
        <v>116</v>
      </c>
      <c r="D1422" s="34">
        <f>VLOOKUP($F$50,таблица,38,0)</f>
        <v>0</v>
      </c>
      <c r="J1422" s="362" t="str">
        <f>IF(D1422=0,"Пустая строка (убрать галочку)",1)</f>
        <v>Пустая строка (убрать галочку)</v>
      </c>
    </row>
    <row r="1423" spans="1:10" hidden="1">
      <c r="A1423" s="33">
        <f>IF(D1423=0,0,IF(D1422=0,A1421+1,A1422+1))</f>
        <v>0</v>
      </c>
      <c r="B1423" s="32" t="str">
        <f>"Рост стоимости "&amp;'Анализ стоимости'!$AX$1&amp;" г."</f>
        <v>Рост стоимости 2019 г.</v>
      </c>
      <c r="C1423" s="33" t="s">
        <v>116</v>
      </c>
      <c r="D1423" s="34">
        <f>VLOOKUP($F$50,таблица,40,0)</f>
        <v>0</v>
      </c>
      <c r="J1423" s="362" t="str">
        <f>IF(D1423=0,"Пустая строка (убрать галочку)",1)</f>
        <v>Пустая строка (убрать галочку)</v>
      </c>
    </row>
    <row r="1424" spans="1:10" hidden="1">
      <c r="A1424" s="384" t="s">
        <v>117</v>
      </c>
      <c r="B1424" s="384"/>
      <c r="C1424" s="384"/>
      <c r="D1424" s="384"/>
      <c r="J1424" s="362" t="str">
        <f>IF($F$50=0,"Пустая строка (убрать галочку)",1)</f>
        <v>Пустая строка (убрать галочку)</v>
      </c>
    </row>
    <row r="1425" spans="1:10" ht="31.5" hidden="1">
      <c r="A1425" s="33">
        <f>IF(D1425=0,0,IF(D1423=0,IF(D1422=0,A1419+1,A1422+1),A1423+1))</f>
        <v>0</v>
      </c>
      <c r="B142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425" s="33" t="s">
        <v>116</v>
      </c>
      <c r="D1425" s="34">
        <f>SUM(VLOOKUP($F$50,таблица,37,0),D1422)</f>
        <v>0</v>
      </c>
      <c r="E1425" s="7"/>
      <c r="J1425" s="362" t="str">
        <f t="shared" ref="J1425:J1431" si="163">IF(D1425=0,"Пустая строка (убрать галочку)",1)</f>
        <v>Пустая строка (убрать галочку)</v>
      </c>
    </row>
    <row r="1426" spans="1:10" hidden="1">
      <c r="A1426" s="33">
        <f>IF(D1426=0,0,A1425+1)</f>
        <v>0</v>
      </c>
      <c r="B1426" s="45" t="s">
        <v>119</v>
      </c>
      <c r="C1426" s="33" t="s">
        <v>116</v>
      </c>
      <c r="D1426" s="34">
        <f>VLOOKUP($F$50,таблица,39,0)</f>
        <v>0</v>
      </c>
      <c r="E1426" s="7"/>
      <c r="J1426" s="362" t="str">
        <f t="shared" si="163"/>
        <v>Пустая строка (убрать галочку)</v>
      </c>
    </row>
    <row r="1427" spans="1:10" hidden="1">
      <c r="A1427" s="33">
        <f>IF(D1427=0,0,A1426+1)</f>
        <v>0</v>
      </c>
      <c r="B1427" s="45" t="str">
        <f>"Всего с НДС на "&amp;'Анализ стоимости'!$AW$1&amp;" г."</f>
        <v>Всего с НДС на 2018 г.</v>
      </c>
      <c r="C1427" s="33" t="s">
        <v>116</v>
      </c>
      <c r="D1427" s="46">
        <f>SUM(D1425:D1426)</f>
        <v>0</v>
      </c>
      <c r="E1427" s="56">
        <f>VLOOKUP($F$50,таблица,51,0)</f>
        <v>0</v>
      </c>
      <c r="J1427" s="362" t="str">
        <f t="shared" si="163"/>
        <v>Пустая строка (убрать галочку)</v>
      </c>
    </row>
    <row r="1428" spans="1:10" ht="31.5" hidden="1">
      <c r="A1428" s="33">
        <f>IF(D1428=0,0,IF(D1427=0,IF(D1423=0,A1419+1,A1423+1),A1427+1))</f>
        <v>0</v>
      </c>
      <c r="B142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428" s="33" t="s">
        <v>116</v>
      </c>
      <c r="D1428" s="34">
        <f>VLOOKUP($F$50,таблица,36,0)-VLOOKUP($F$50,таблица,37,0)+D1423</f>
        <v>0</v>
      </c>
      <c r="J1428" s="362" t="str">
        <f t="shared" si="163"/>
        <v>Пустая строка (убрать галочку)</v>
      </c>
    </row>
    <row r="1429" spans="1:10" hidden="1">
      <c r="A1429" s="33">
        <f>IF(D1429=0,0,A1428+1)</f>
        <v>0</v>
      </c>
      <c r="B1429" s="45" t="s">
        <v>119</v>
      </c>
      <c r="C1429" s="33" t="s">
        <v>116</v>
      </c>
      <c r="D1429" s="34">
        <f>VLOOKUP($F$50,таблица,41,0)</f>
        <v>0</v>
      </c>
      <c r="J1429" s="362" t="str">
        <f t="shared" si="163"/>
        <v>Пустая строка (убрать галочку)</v>
      </c>
    </row>
    <row r="1430" spans="1:10" hidden="1">
      <c r="A1430" s="33">
        <f>IF(D1430=0,0,A1429+1)</f>
        <v>0</v>
      </c>
      <c r="B1430" s="45" t="str">
        <f>"Всего с НДС на "&amp;'Анализ стоимости'!$AX$1&amp;" г."</f>
        <v>Всего с НДС на 2019 г.</v>
      </c>
      <c r="C1430" s="33" t="s">
        <v>116</v>
      </c>
      <c r="D1430" s="46">
        <f>SUM(D1428:D1429)</f>
        <v>0</v>
      </c>
      <c r="E1430" s="56">
        <f>VLOOKUP($F$50,таблица,52,0)</f>
        <v>0</v>
      </c>
      <c r="J1430" s="362" t="str">
        <f t="shared" si="163"/>
        <v>Пустая строка (убрать галочку)</v>
      </c>
    </row>
    <row r="1431" spans="1:10" hidden="1">
      <c r="A1431" s="33">
        <f>IF(D1431=0,0,A1430+1)</f>
        <v>0</v>
      </c>
      <c r="B1431" s="45" t="s">
        <v>118</v>
      </c>
      <c r="C1431" s="33" t="s">
        <v>116</v>
      </c>
      <c r="D1431" s="46">
        <f>IF(OR(D1427=0,D1430=0),0,D1430+D1427)</f>
        <v>0</v>
      </c>
      <c r="E1431" s="56">
        <f>VLOOKUP($F$50,таблица,42,0)</f>
        <v>0</v>
      </c>
      <c r="J1431" s="362" t="str">
        <f t="shared" si="163"/>
        <v>Пустая строка (убрать галочку)</v>
      </c>
    </row>
    <row r="1432" spans="1:10" hidden="1">
      <c r="A1432" s="13"/>
      <c r="B1432" s="13"/>
      <c r="C1432" s="13"/>
      <c r="D1432" s="14"/>
      <c r="J1432" s="362" t="str">
        <f>IF($F$50=0,"Пустая строка (убрать галочку)",1)</f>
        <v>Пустая строка (убрать галочку)</v>
      </c>
    </row>
    <row r="1433" spans="1:10" ht="47.25" hidden="1" customHeight="1">
      <c r="A143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433" s="382"/>
      <c r="C1433" s="67"/>
      <c r="D1433" s="48" t="str">
        <f>'Анализ стоимости'!$I$101</f>
        <v>Шестопал О.Н.</v>
      </c>
      <c r="G1433" s="43" t="str">
        <f>A1433</f>
        <v>Специалист администрации Старонижестеблиевского сельского поселения Красноармейского района</v>
      </c>
      <c r="J1433" s="362" t="str">
        <f>IF($F$50=0,"Пустая строка (убрать галочку)",1)</f>
        <v>Пустая строка (убрать галочку)</v>
      </c>
    </row>
    <row r="1434" spans="1:10" hidden="1">
      <c r="A1434" s="49"/>
      <c r="B1434" s="49"/>
      <c r="C1434" s="49"/>
      <c r="D1434" s="50"/>
      <c r="J1434" s="362" t="str">
        <f>IF($F$50=0,"Пустая строка (убрать галочку)",1)</f>
        <v>Пустая строка (убрать галочку)</v>
      </c>
    </row>
    <row r="1435" spans="1:10" hidden="1">
      <c r="A1435" s="375"/>
      <c r="B1435" s="375"/>
      <c r="C1435" s="3"/>
      <c r="D1435" s="3"/>
      <c r="J1435" s="362" t="str">
        <f>IF($F$50=0,"Пустая строка (убрать галочку)",1)</f>
        <v>Пустая строка (убрать галочку)</v>
      </c>
    </row>
    <row r="1436" spans="1:10" hidden="1">
      <c r="A1436" s="385" t="s">
        <v>185</v>
      </c>
      <c r="B1436" s="385"/>
      <c r="C1436" s="385"/>
      <c r="D1436" s="385"/>
      <c r="G1436" s="37"/>
      <c r="H1436" s="37"/>
      <c r="J1436" s="362" t="str">
        <f t="shared" ref="J1436:J1453" si="164">IF($F$51=0,"Пустая строка (убрать галочку)",1)</f>
        <v>Пустая строка (убрать галочку)</v>
      </c>
    </row>
    <row r="1437" spans="1:10" ht="47.25" hidden="1" customHeight="1">
      <c r="A1437" s="376" t="str">
        <f>CONCATENATE("Наименование объекта: ",VLOOKUP($F$51,таблица,9,0))</f>
        <v xml:space="preserve">Наименование объекта: </v>
      </c>
      <c r="B1437" s="376"/>
      <c r="C1437" s="376"/>
      <c r="D1437" s="376"/>
      <c r="I1437" s="58" t="str">
        <f>A1437</f>
        <v xml:space="preserve">Наименование объекта: </v>
      </c>
      <c r="J1437" s="362" t="str">
        <f t="shared" si="164"/>
        <v>Пустая строка (убрать галочку)</v>
      </c>
    </row>
    <row r="1438" spans="1:10" hidden="1">
      <c r="A1438" s="30"/>
      <c r="B1438" s="25"/>
      <c r="C1438" s="25"/>
      <c r="D1438" s="25"/>
      <c r="J1438" s="362" t="str">
        <f t="shared" si="164"/>
        <v>Пустая строка (убрать галочку)</v>
      </c>
    </row>
    <row r="1439" spans="1:10" hidden="1">
      <c r="A1439" s="29" t="s">
        <v>111</v>
      </c>
      <c r="B1439" s="22"/>
      <c r="C1439" s="22"/>
      <c r="D1439" s="22"/>
      <c r="J1439" s="362" t="str">
        <f t="shared" si="164"/>
        <v>Пустая строка (убрать галочку)</v>
      </c>
    </row>
    <row r="1440" spans="1:10" hidden="1">
      <c r="A1440" s="383" t="s">
        <v>112</v>
      </c>
      <c r="B1440" s="383"/>
      <c r="C1440" s="383"/>
      <c r="D1440" s="383"/>
      <c r="J1440" s="362" t="str">
        <f t="shared" si="164"/>
        <v>Пустая строка (убрать галочку)</v>
      </c>
    </row>
    <row r="1441" spans="1:10" ht="47.25" hidden="1">
      <c r="A1441" s="68" t="s">
        <v>67</v>
      </c>
      <c r="B1441" s="68" t="s">
        <v>98</v>
      </c>
      <c r="C1441" s="377" t="str">
        <f>CONCATENATE("Стоимость  согласно сметной документации (руб.) в текущих ценах по состоянию на ",VLOOKUP($F$51,таблица,5,0)," г.")</f>
        <v>Стоимость  согласно сметной документации (руб.) в текущих ценах по состоянию на  г.</v>
      </c>
      <c r="D1441" s="378"/>
      <c r="H1441" s="44" t="str">
        <f>C1441</f>
        <v>Стоимость  согласно сметной документации (руб.) в текущих ценах по состоянию на  г.</v>
      </c>
      <c r="J1441" s="362" t="str">
        <f t="shared" si="164"/>
        <v>Пустая строка (убрать галочку)</v>
      </c>
    </row>
    <row r="1442" spans="1:10" hidden="1">
      <c r="A1442" s="33">
        <v>1</v>
      </c>
      <c r="B1442" s="32" t="s">
        <v>46</v>
      </c>
      <c r="C1442" s="379">
        <f>VLOOKUP($F$51,таблица,10,0)</f>
        <v>0</v>
      </c>
      <c r="D1442" s="380"/>
      <c r="J1442" s="362" t="str">
        <f t="shared" si="164"/>
        <v>Пустая строка (убрать галочку)</v>
      </c>
    </row>
    <row r="1443" spans="1:10" hidden="1">
      <c r="A1443" s="33">
        <v>2</v>
      </c>
      <c r="B1443" s="32" t="s">
        <v>41</v>
      </c>
      <c r="C1443" s="379">
        <f>VLOOKUP($F$51,таблица,11,0)</f>
        <v>0</v>
      </c>
      <c r="D1443" s="380"/>
      <c r="J1443" s="362" t="str">
        <f t="shared" si="164"/>
        <v>Пустая строка (убрать галочку)</v>
      </c>
    </row>
    <row r="1444" spans="1:10" ht="31.5" hidden="1">
      <c r="A1444" s="33">
        <v>3</v>
      </c>
      <c r="B1444" s="32" t="s">
        <v>3</v>
      </c>
      <c r="C1444" s="379">
        <f>VLOOKUP($F$51,таблица,12,0)</f>
        <v>0</v>
      </c>
      <c r="D1444" s="380"/>
      <c r="J1444" s="362" t="str">
        <f t="shared" si="164"/>
        <v>Пустая строка (убрать галочку)</v>
      </c>
    </row>
    <row r="1445" spans="1:10" hidden="1">
      <c r="A1445" s="33">
        <v>4</v>
      </c>
      <c r="B1445" s="32" t="s">
        <v>42</v>
      </c>
      <c r="C1445" s="379">
        <f>VLOOKUP($F$51,таблица,13,0)</f>
        <v>0</v>
      </c>
      <c r="D1445" s="380"/>
      <c r="J1445" s="362" t="str">
        <f t="shared" si="164"/>
        <v>Пустая строка (убрать галочку)</v>
      </c>
    </row>
    <row r="1446" spans="1:10" hidden="1">
      <c r="A1446" s="33">
        <v>5</v>
      </c>
      <c r="B1446" s="32" t="s">
        <v>5</v>
      </c>
      <c r="C1446" s="379">
        <f>VLOOKUP($F$51,таблица,14,0)</f>
        <v>0</v>
      </c>
      <c r="D1446" s="380"/>
      <c r="J1446" s="362" t="str">
        <f t="shared" si="164"/>
        <v>Пустая строка (убрать галочку)</v>
      </c>
    </row>
    <row r="1447" spans="1:10" hidden="1">
      <c r="A1447" s="33">
        <v>6</v>
      </c>
      <c r="B1447" s="32" t="s">
        <v>12</v>
      </c>
      <c r="C1447" s="379">
        <f>VLOOKUP($F$51,таблица,18,0)</f>
        <v>0</v>
      </c>
      <c r="D1447" s="380"/>
      <c r="J1447" s="362" t="str">
        <f t="shared" si="164"/>
        <v>Пустая строка (убрать галочку)</v>
      </c>
    </row>
    <row r="1448" spans="1:10" hidden="1">
      <c r="A1448" s="33">
        <v>7</v>
      </c>
      <c r="B1448" s="32" t="s">
        <v>88</v>
      </c>
      <c r="C1448" s="379">
        <f>VLOOKUP($F$51,таблица,19,0)+VLOOKUP($F$51,таблица,21,0)+VLOOKUP($F$51,таблица,22,0)+VLOOKUP($F$51,таблица,23,0)+VLOOKUP($F$51,таблица,24,0)+VLOOKUP($F$51,таблица,25,0)+VLOOKUP($F$51,таблица,26,0)</f>
        <v>0</v>
      </c>
      <c r="D1448" s="380"/>
      <c r="J1448" s="362" t="str">
        <f t="shared" si="164"/>
        <v>Пустая строка (убрать галочку)</v>
      </c>
    </row>
    <row r="1449" spans="1:10" hidden="1">
      <c r="A1449" s="33">
        <v>8</v>
      </c>
      <c r="B1449" s="32" t="s">
        <v>62</v>
      </c>
      <c r="C1449" s="379">
        <f>VLOOKUP($F$51,таблица,31,0)</f>
        <v>0</v>
      </c>
      <c r="D1449" s="380"/>
      <c r="J1449" s="362" t="str">
        <f t="shared" si="164"/>
        <v>Пустая строка (убрать галочку)</v>
      </c>
    </row>
    <row r="1450" spans="1:10" hidden="1">
      <c r="A1450" s="33">
        <v>9</v>
      </c>
      <c r="B1450" s="32" t="s">
        <v>127</v>
      </c>
      <c r="C1450" s="379">
        <f>SUM(C1442:D1449)</f>
        <v>0</v>
      </c>
      <c r="D1450" s="380"/>
      <c r="J1450" s="362" t="str">
        <f t="shared" si="164"/>
        <v>Пустая строка (убрать галочку)</v>
      </c>
    </row>
    <row r="1451" spans="1:10" hidden="1">
      <c r="A1451" s="384" t="s">
        <v>122</v>
      </c>
      <c r="B1451" s="384"/>
      <c r="C1451" s="384"/>
      <c r="D1451" s="384"/>
      <c r="J1451" s="362" t="str">
        <f t="shared" si="164"/>
        <v>Пустая строка (убрать галочку)</v>
      </c>
    </row>
    <row r="1452" spans="1:10" ht="31.5" hidden="1">
      <c r="A1452" s="35" t="s">
        <v>67</v>
      </c>
      <c r="B1452" s="68" t="s">
        <v>21</v>
      </c>
      <c r="C1452" s="68" t="s">
        <v>114</v>
      </c>
      <c r="D1452" s="68" t="s">
        <v>99</v>
      </c>
      <c r="J1452" s="362" t="str">
        <f t="shared" si="164"/>
        <v>Пустая строка (убрать галочку)</v>
      </c>
    </row>
    <row r="1453" spans="1:10" hidden="1">
      <c r="A1453" s="33">
        <v>10</v>
      </c>
      <c r="B1453" s="33" t="e">
        <f>VLOOKUP((VLOOKUP($F$51,таблица,8,0)),рем_содер,2,0)</f>
        <v>#N/A</v>
      </c>
      <c r="C1453" s="33"/>
      <c r="D1453" s="32"/>
      <c r="J1453" s="362" t="str">
        <f t="shared" si="164"/>
        <v>Пустая строка (убрать галочку)</v>
      </c>
    </row>
    <row r="1454" spans="1:10" hidden="1">
      <c r="A1454" s="33">
        <f>IF(D1454=0,0,A1453+1)</f>
        <v>0</v>
      </c>
      <c r="B1454" s="32" t="e">
        <f>CONCATENATE('Анализ стоимости'!$AW$1," г (",CHOOSE(VLOOKUP(F$51,таблица,43,0),"Январь","Февраль","Март","Апрель","Май","Июнь","Июль","Август","Сентябрь","Октябрь","Ноябрь","Декабрь")," - ",CHOOSE(VLOOKUP(F$51,таблица,44,0),"Январь","Февраль","Март","Апрель","Май","Июнь","Июль","Август","Сентябрь","Октябрь","Ноябрь","Декабрь"),")")</f>
        <v>#VALUE!</v>
      </c>
      <c r="C1454" s="33" t="s">
        <v>115</v>
      </c>
      <c r="D1454" s="55">
        <f>IF(D1456=0,0,VLOOKUP($F$51,таблица,49,0)*100+100)</f>
        <v>0</v>
      </c>
      <c r="J1454" s="362" t="str">
        <f>IF(D1454=0,"Пустая строка (убрать галочку)",1)</f>
        <v>Пустая строка (убрать галочку)</v>
      </c>
    </row>
    <row r="1455" spans="1:10" hidden="1">
      <c r="A1455" s="33">
        <f>IF(D1455=0,0,IF(D1454=0,A1453+1,A1454+1))</f>
        <v>0</v>
      </c>
      <c r="B1455" s="32" t="e">
        <f>CONCATENATE('Анализ стоимости'!$AX$1," г (",CHOOSE(VLOOKUP(F$51,таблица,45,0),"Январь","Февраль","Март","Апрель","Май","Июнь","Июль","Август","Сентябрь","Октябрь","Ноябрь","Декабрь")," - ",CHOOSE(VLOOKUP(F$51,таблица,46,0),"Январь","Февраль","Март","Апрель","Май","Июнь","Июль","Август","Сентябрь","Октябрь","Ноябрь","Декабрь"),")")</f>
        <v>#VALUE!</v>
      </c>
      <c r="C1455" s="33" t="s">
        <v>115</v>
      </c>
      <c r="D1455" s="55">
        <f>IF(D1457=0,0,VLOOKUP($F$51,таблица,50,0)*100+100)</f>
        <v>0</v>
      </c>
      <c r="J1455" s="362" t="str">
        <f>IF(D1455=0,"Пустая строка (убрать галочку)",1)</f>
        <v>Пустая строка (убрать галочку)</v>
      </c>
    </row>
    <row r="1456" spans="1:10" hidden="1">
      <c r="A1456" s="33">
        <f>IF(D1456=0,0,IF(D1455=0,A1454+1,A1455+1))</f>
        <v>0</v>
      </c>
      <c r="B1456" s="32" t="str">
        <f>"Рост стоимости "&amp;'Анализ стоимости'!$AW$1&amp;" г."</f>
        <v>Рост стоимости 2018 г.</v>
      </c>
      <c r="C1456" s="33" t="s">
        <v>116</v>
      </c>
      <c r="D1456" s="34">
        <f>VLOOKUP($F$51,таблица,38,0)</f>
        <v>0</v>
      </c>
      <c r="J1456" s="362" t="str">
        <f>IF(D1456=0,"Пустая строка (убрать галочку)",1)</f>
        <v>Пустая строка (убрать галочку)</v>
      </c>
    </row>
    <row r="1457" spans="1:10" hidden="1">
      <c r="A1457" s="33">
        <f>IF(D1457=0,0,IF(D1456=0,A1455+1,A1456+1))</f>
        <v>0</v>
      </c>
      <c r="B1457" s="32" t="str">
        <f>"Рост стоимости "&amp;'Анализ стоимости'!$AX$1&amp;" г."</f>
        <v>Рост стоимости 2019 г.</v>
      </c>
      <c r="C1457" s="33" t="s">
        <v>116</v>
      </c>
      <c r="D1457" s="34">
        <f>VLOOKUP($F$51,таблица,40,0)</f>
        <v>0</v>
      </c>
      <c r="J1457" s="362" t="str">
        <f>IF(D1457=0,"Пустая строка (убрать галочку)",1)</f>
        <v>Пустая строка (убрать галочку)</v>
      </c>
    </row>
    <row r="1458" spans="1:10" hidden="1">
      <c r="A1458" s="384" t="s">
        <v>117</v>
      </c>
      <c r="B1458" s="384"/>
      <c r="C1458" s="384"/>
      <c r="D1458" s="384"/>
      <c r="J1458" s="362" t="str">
        <f>IF($F$51=0,"Пустая строка (убрать галочку)",1)</f>
        <v>Пустая строка (убрать галочку)</v>
      </c>
    </row>
    <row r="1459" spans="1:10" ht="31.5" hidden="1">
      <c r="A1459" s="33">
        <f>IF(D1459=0,0,IF(D1457=0,IF(D1456=0,A1453+1,A1456+1),A1457+1))</f>
        <v>0</v>
      </c>
      <c r="B145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459" s="33" t="s">
        <v>116</v>
      </c>
      <c r="D1459" s="34">
        <f>SUM(VLOOKUP($F$51,таблица,37,0),D1456)</f>
        <v>0</v>
      </c>
      <c r="E1459" s="7"/>
      <c r="J1459" s="362" t="str">
        <f t="shared" ref="J1459:J1465" si="165">IF(D1459=0,"Пустая строка (убрать галочку)",1)</f>
        <v>Пустая строка (убрать галочку)</v>
      </c>
    </row>
    <row r="1460" spans="1:10" hidden="1">
      <c r="A1460" s="33">
        <f>IF(D1460=0,0,A1459+1)</f>
        <v>0</v>
      </c>
      <c r="B1460" s="45" t="s">
        <v>119</v>
      </c>
      <c r="C1460" s="33" t="s">
        <v>116</v>
      </c>
      <c r="D1460" s="34">
        <f>VLOOKUP($F$51,таблица,39,0)</f>
        <v>0</v>
      </c>
      <c r="E1460" s="7"/>
      <c r="J1460" s="362" t="str">
        <f t="shared" si="165"/>
        <v>Пустая строка (убрать галочку)</v>
      </c>
    </row>
    <row r="1461" spans="1:10" hidden="1">
      <c r="A1461" s="33">
        <f>IF(D1461=0,0,A1460+1)</f>
        <v>0</v>
      </c>
      <c r="B1461" s="45" t="str">
        <f>"Всего с НДС на "&amp;'Анализ стоимости'!$AW$1&amp;" г."</f>
        <v>Всего с НДС на 2018 г.</v>
      </c>
      <c r="C1461" s="33" t="s">
        <v>116</v>
      </c>
      <c r="D1461" s="46">
        <f>SUM(D1459:D1460)</f>
        <v>0</v>
      </c>
      <c r="E1461" s="56">
        <f>VLOOKUP($F$51,таблица,51,0)</f>
        <v>0</v>
      </c>
      <c r="J1461" s="362" t="str">
        <f t="shared" si="165"/>
        <v>Пустая строка (убрать галочку)</v>
      </c>
    </row>
    <row r="1462" spans="1:10" ht="31.5" hidden="1">
      <c r="A1462" s="33">
        <f>IF(D1462=0,0,IF(D1461=0,IF(D1457=0,A1453+1,A1457+1),A1461+1))</f>
        <v>0</v>
      </c>
      <c r="B146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462" s="33" t="s">
        <v>116</v>
      </c>
      <c r="D1462" s="34">
        <f>VLOOKUP($F$51,таблица,36,0)-VLOOKUP($F$51,таблица,37,0)+D1457</f>
        <v>0</v>
      </c>
      <c r="J1462" s="362" t="str">
        <f t="shared" si="165"/>
        <v>Пустая строка (убрать галочку)</v>
      </c>
    </row>
    <row r="1463" spans="1:10" hidden="1">
      <c r="A1463" s="33">
        <f>IF(D1463=0,0,A1462+1)</f>
        <v>0</v>
      </c>
      <c r="B1463" s="45" t="s">
        <v>119</v>
      </c>
      <c r="C1463" s="33" t="s">
        <v>116</v>
      </c>
      <c r="D1463" s="34">
        <f>VLOOKUP($F$51,таблица,41,0)</f>
        <v>0</v>
      </c>
      <c r="J1463" s="362" t="str">
        <f t="shared" si="165"/>
        <v>Пустая строка (убрать галочку)</v>
      </c>
    </row>
    <row r="1464" spans="1:10" hidden="1">
      <c r="A1464" s="33">
        <f>IF(D1464=0,0,A1463+1)</f>
        <v>0</v>
      </c>
      <c r="B1464" s="45" t="str">
        <f>"Всего с НДС на "&amp;'Анализ стоимости'!$AX$1&amp;" г."</f>
        <v>Всего с НДС на 2019 г.</v>
      </c>
      <c r="C1464" s="33" t="s">
        <v>116</v>
      </c>
      <c r="D1464" s="46">
        <f>SUM(D1462:D1463)</f>
        <v>0</v>
      </c>
      <c r="E1464" s="56">
        <f>VLOOKUP($F$51,таблица,52,0)</f>
        <v>0</v>
      </c>
      <c r="J1464" s="362" t="str">
        <f t="shared" si="165"/>
        <v>Пустая строка (убрать галочку)</v>
      </c>
    </row>
    <row r="1465" spans="1:10" hidden="1">
      <c r="A1465" s="33">
        <f>IF(D1465=0,0,A1464+1)</f>
        <v>0</v>
      </c>
      <c r="B1465" s="45" t="s">
        <v>118</v>
      </c>
      <c r="C1465" s="33" t="s">
        <v>116</v>
      </c>
      <c r="D1465" s="46">
        <f>IF(OR(D1461=0,D1464=0),0,D1464+D1461)</f>
        <v>0</v>
      </c>
      <c r="E1465" s="56">
        <f>VLOOKUP($F$51,таблица,42,0)</f>
        <v>0</v>
      </c>
      <c r="J1465" s="362" t="str">
        <f t="shared" si="165"/>
        <v>Пустая строка (убрать галочку)</v>
      </c>
    </row>
    <row r="1466" spans="1:10" hidden="1">
      <c r="A1466" s="13"/>
      <c r="B1466" s="13"/>
      <c r="C1466" s="13"/>
      <c r="D1466" s="14"/>
      <c r="J1466" s="362" t="str">
        <f>IF($F$51=0,"Пустая строка (убрать галочку)",1)</f>
        <v>Пустая строка (убрать галочку)</v>
      </c>
    </row>
    <row r="1467" spans="1:10" ht="47.25" hidden="1" customHeight="1">
      <c r="A146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467" s="382"/>
      <c r="C1467" s="67"/>
      <c r="D1467" s="48" t="str">
        <f>'Анализ стоимости'!$I$101</f>
        <v>Шестопал О.Н.</v>
      </c>
      <c r="G1467" s="43" t="str">
        <f>A1467</f>
        <v>Специалист администрации Старонижестеблиевского сельского поселения Красноармейского района</v>
      </c>
      <c r="J1467" s="362" t="str">
        <f>IF($F$51=0,"Пустая строка (убрать галочку)",1)</f>
        <v>Пустая строка (убрать галочку)</v>
      </c>
    </row>
    <row r="1468" spans="1:10" hidden="1">
      <c r="A1468" s="49"/>
      <c r="B1468" s="49"/>
      <c r="C1468" s="49"/>
      <c r="D1468" s="50"/>
      <c r="J1468" s="362" t="str">
        <f>IF($F$51=0,"Пустая строка (убрать галочку)",1)</f>
        <v>Пустая строка (убрать галочку)</v>
      </c>
    </row>
    <row r="1469" spans="1:10" hidden="1">
      <c r="A1469" s="375"/>
      <c r="B1469" s="375"/>
      <c r="C1469" s="3"/>
      <c r="D1469" s="3"/>
      <c r="J1469" s="362" t="str">
        <f>IF($F$51=0,"Пустая строка (убрать галочку)",1)</f>
        <v>Пустая строка (убрать галочку)</v>
      </c>
    </row>
    <row r="1470" spans="1:10" hidden="1">
      <c r="A1470" s="385" t="s">
        <v>186</v>
      </c>
      <c r="B1470" s="385"/>
      <c r="C1470" s="385"/>
      <c r="D1470" s="385"/>
      <c r="G1470" s="37"/>
      <c r="H1470" s="37"/>
      <c r="J1470" s="362" t="str">
        <f t="shared" ref="J1470:J1487" si="166">IF($F$52=0,"Пустая строка (убрать галочку)",1)</f>
        <v>Пустая строка (убрать галочку)</v>
      </c>
    </row>
    <row r="1471" spans="1:10" ht="47.25" hidden="1" customHeight="1">
      <c r="A1471" s="376" t="str">
        <f>CONCATENATE("Наименование объекта: ",VLOOKUP($F$52,таблица,9,0))</f>
        <v xml:space="preserve">Наименование объекта: </v>
      </c>
      <c r="B1471" s="376"/>
      <c r="C1471" s="376"/>
      <c r="D1471" s="376"/>
      <c r="I1471" s="58" t="str">
        <f>A1471</f>
        <v xml:space="preserve">Наименование объекта: </v>
      </c>
      <c r="J1471" s="362" t="str">
        <f t="shared" si="166"/>
        <v>Пустая строка (убрать галочку)</v>
      </c>
    </row>
    <row r="1472" spans="1:10" hidden="1">
      <c r="A1472" s="30"/>
      <c r="B1472" s="25"/>
      <c r="C1472" s="25"/>
      <c r="D1472" s="25"/>
      <c r="J1472" s="362" t="str">
        <f t="shared" si="166"/>
        <v>Пустая строка (убрать галочку)</v>
      </c>
    </row>
    <row r="1473" spans="1:10" hidden="1">
      <c r="A1473" s="29" t="s">
        <v>111</v>
      </c>
      <c r="B1473" s="22"/>
      <c r="C1473" s="22"/>
      <c r="D1473" s="22"/>
      <c r="J1473" s="362" t="str">
        <f t="shared" si="166"/>
        <v>Пустая строка (убрать галочку)</v>
      </c>
    </row>
    <row r="1474" spans="1:10" hidden="1">
      <c r="A1474" s="383" t="s">
        <v>112</v>
      </c>
      <c r="B1474" s="383"/>
      <c r="C1474" s="383"/>
      <c r="D1474" s="383"/>
      <c r="J1474" s="362" t="str">
        <f t="shared" si="166"/>
        <v>Пустая строка (убрать галочку)</v>
      </c>
    </row>
    <row r="1475" spans="1:10" ht="47.25" hidden="1">
      <c r="A1475" s="68" t="s">
        <v>67</v>
      </c>
      <c r="B1475" s="68" t="s">
        <v>98</v>
      </c>
      <c r="C1475" s="377" t="str">
        <f>CONCATENATE("Стоимость  согласно сметной документации (руб.) в текущих ценах по состоянию на ",VLOOKUP($F$52,таблица,5,0)," г.")</f>
        <v>Стоимость  согласно сметной документации (руб.) в текущих ценах по состоянию на  г.</v>
      </c>
      <c r="D1475" s="378"/>
      <c r="H1475" s="44" t="str">
        <f>C1475</f>
        <v>Стоимость  согласно сметной документации (руб.) в текущих ценах по состоянию на  г.</v>
      </c>
      <c r="J1475" s="362" t="str">
        <f t="shared" si="166"/>
        <v>Пустая строка (убрать галочку)</v>
      </c>
    </row>
    <row r="1476" spans="1:10" hidden="1">
      <c r="A1476" s="33">
        <v>1</v>
      </c>
      <c r="B1476" s="32" t="s">
        <v>46</v>
      </c>
      <c r="C1476" s="379">
        <f>VLOOKUP($F$52,таблица,10,0)</f>
        <v>0</v>
      </c>
      <c r="D1476" s="380"/>
      <c r="J1476" s="362" t="str">
        <f t="shared" si="166"/>
        <v>Пустая строка (убрать галочку)</v>
      </c>
    </row>
    <row r="1477" spans="1:10" hidden="1">
      <c r="A1477" s="33">
        <v>2</v>
      </c>
      <c r="B1477" s="32" t="s">
        <v>41</v>
      </c>
      <c r="C1477" s="379">
        <f>VLOOKUP($F$52,таблица,11,0)</f>
        <v>0</v>
      </c>
      <c r="D1477" s="380"/>
      <c r="J1477" s="362" t="str">
        <f t="shared" si="166"/>
        <v>Пустая строка (убрать галочку)</v>
      </c>
    </row>
    <row r="1478" spans="1:10" ht="31.5" hidden="1">
      <c r="A1478" s="33">
        <v>3</v>
      </c>
      <c r="B1478" s="32" t="s">
        <v>3</v>
      </c>
      <c r="C1478" s="379">
        <f>VLOOKUP($F$52,таблица,12,0)</f>
        <v>0</v>
      </c>
      <c r="D1478" s="380"/>
      <c r="J1478" s="362" t="str">
        <f t="shared" si="166"/>
        <v>Пустая строка (убрать галочку)</v>
      </c>
    </row>
    <row r="1479" spans="1:10" hidden="1">
      <c r="A1479" s="33">
        <v>4</v>
      </c>
      <c r="B1479" s="32" t="s">
        <v>42</v>
      </c>
      <c r="C1479" s="379">
        <f>VLOOKUP($F$52,таблица,13,0)</f>
        <v>0</v>
      </c>
      <c r="D1479" s="380"/>
      <c r="J1479" s="362" t="str">
        <f t="shared" si="166"/>
        <v>Пустая строка (убрать галочку)</v>
      </c>
    </row>
    <row r="1480" spans="1:10" hidden="1">
      <c r="A1480" s="33">
        <v>5</v>
      </c>
      <c r="B1480" s="32" t="s">
        <v>5</v>
      </c>
      <c r="C1480" s="379">
        <f>VLOOKUP($F$52,таблица,14,0)</f>
        <v>0</v>
      </c>
      <c r="D1480" s="380"/>
      <c r="J1480" s="362" t="str">
        <f t="shared" si="166"/>
        <v>Пустая строка (убрать галочку)</v>
      </c>
    </row>
    <row r="1481" spans="1:10" hidden="1">
      <c r="A1481" s="33">
        <v>6</v>
      </c>
      <c r="B1481" s="32" t="s">
        <v>12</v>
      </c>
      <c r="C1481" s="379">
        <f>VLOOKUP($F$52,таблица,18,0)</f>
        <v>0</v>
      </c>
      <c r="D1481" s="380"/>
      <c r="J1481" s="362" t="str">
        <f t="shared" si="166"/>
        <v>Пустая строка (убрать галочку)</v>
      </c>
    </row>
    <row r="1482" spans="1:10" hidden="1">
      <c r="A1482" s="33">
        <v>7</v>
      </c>
      <c r="B1482" s="32" t="s">
        <v>88</v>
      </c>
      <c r="C1482" s="379">
        <f>VLOOKUP($F$52,таблица,19,0)+VLOOKUP($F$52,таблица,21,0)+VLOOKUP($F$52,таблица,22,0)+VLOOKUP($F$52,таблица,23,0)+VLOOKUP($F$52,таблица,24,0)+VLOOKUP($F$52,таблица,25,0)+VLOOKUP($F$52,таблица,26,0)</f>
        <v>0</v>
      </c>
      <c r="D1482" s="380"/>
      <c r="J1482" s="362" t="str">
        <f t="shared" si="166"/>
        <v>Пустая строка (убрать галочку)</v>
      </c>
    </row>
    <row r="1483" spans="1:10" hidden="1">
      <c r="A1483" s="33">
        <v>8</v>
      </c>
      <c r="B1483" s="32" t="s">
        <v>62</v>
      </c>
      <c r="C1483" s="379">
        <f>VLOOKUP($F$52,таблица,31,0)</f>
        <v>0</v>
      </c>
      <c r="D1483" s="380"/>
      <c r="J1483" s="362" t="str">
        <f t="shared" si="166"/>
        <v>Пустая строка (убрать галочку)</v>
      </c>
    </row>
    <row r="1484" spans="1:10" hidden="1">
      <c r="A1484" s="33">
        <v>9</v>
      </c>
      <c r="B1484" s="32" t="s">
        <v>127</v>
      </c>
      <c r="C1484" s="379">
        <f>SUM(C1476:D1483)</f>
        <v>0</v>
      </c>
      <c r="D1484" s="380"/>
      <c r="J1484" s="362" t="str">
        <f t="shared" si="166"/>
        <v>Пустая строка (убрать галочку)</v>
      </c>
    </row>
    <row r="1485" spans="1:10" hidden="1">
      <c r="A1485" s="384" t="s">
        <v>122</v>
      </c>
      <c r="B1485" s="384"/>
      <c r="C1485" s="384"/>
      <c r="D1485" s="384"/>
      <c r="J1485" s="362" t="str">
        <f t="shared" si="166"/>
        <v>Пустая строка (убрать галочку)</v>
      </c>
    </row>
    <row r="1486" spans="1:10" ht="31.5" hidden="1">
      <c r="A1486" s="35" t="s">
        <v>67</v>
      </c>
      <c r="B1486" s="68" t="s">
        <v>21</v>
      </c>
      <c r="C1486" s="68" t="s">
        <v>114</v>
      </c>
      <c r="D1486" s="68" t="s">
        <v>99</v>
      </c>
      <c r="J1486" s="362" t="str">
        <f t="shared" si="166"/>
        <v>Пустая строка (убрать галочку)</v>
      </c>
    </row>
    <row r="1487" spans="1:10" hidden="1">
      <c r="A1487" s="33">
        <v>10</v>
      </c>
      <c r="B1487" s="33" t="e">
        <f>VLOOKUP((VLOOKUP($F$52,таблица,8,0)),рем_содер,2,0)</f>
        <v>#N/A</v>
      </c>
      <c r="C1487" s="33"/>
      <c r="D1487" s="32"/>
      <c r="J1487" s="362" t="str">
        <f t="shared" si="166"/>
        <v>Пустая строка (убрать галочку)</v>
      </c>
    </row>
    <row r="1488" spans="1:10" hidden="1">
      <c r="A1488" s="33">
        <f>IF(D1488=0,0,A1487+1)</f>
        <v>0</v>
      </c>
      <c r="B1488" s="32" t="e">
        <f>CONCATENATE('Анализ стоимости'!$AW$1," г (",CHOOSE(VLOOKUP(F$52,таблица,43,0),"Январь","Февраль","Март","Апрель","Май","Июнь","Июль","Август","Сентябрь","Октябрь","Ноябрь","Декабрь")," - ",CHOOSE(VLOOKUP(F$52,таблица,44,0),"Январь","Февраль","Март","Апрель","Май","Июнь","Июль","Август","Сентябрь","Октябрь","Ноябрь","Декабрь"),")")</f>
        <v>#VALUE!</v>
      </c>
      <c r="C1488" s="33" t="s">
        <v>115</v>
      </c>
      <c r="D1488" s="55">
        <f>IF(D1490=0,0,VLOOKUP($F$52,таблица,49,0)*100+100)</f>
        <v>0</v>
      </c>
      <c r="J1488" s="362" t="str">
        <f>IF(D1488=0,"Пустая строка (убрать галочку)",1)</f>
        <v>Пустая строка (убрать галочку)</v>
      </c>
    </row>
    <row r="1489" spans="1:10" hidden="1">
      <c r="A1489" s="33">
        <f>IF(D1489=0,0,IF(D1488=0,A1487+1,A1488+1))</f>
        <v>0</v>
      </c>
      <c r="B1489" s="32" t="e">
        <f>CONCATENATE('Анализ стоимости'!$AX$1," г (",CHOOSE(VLOOKUP(F$52,таблица,45,0),"Январь","Февраль","Март","Апрель","Май","Июнь","Июль","Август","Сентябрь","Октябрь","Ноябрь","Декабрь")," - ",CHOOSE(VLOOKUP(F$52,таблица,46,0),"Январь","Февраль","Март","Апрель","Май","Июнь","Июль","Август","Сентябрь","Октябрь","Ноябрь","Декабрь"),")")</f>
        <v>#VALUE!</v>
      </c>
      <c r="C1489" s="33" t="s">
        <v>115</v>
      </c>
      <c r="D1489" s="55">
        <f>IF(D1491=0,0,VLOOKUP($F$52,таблица,50,0)*100+100)</f>
        <v>0</v>
      </c>
      <c r="J1489" s="362" t="str">
        <f>IF(D1489=0,"Пустая строка (убрать галочку)",1)</f>
        <v>Пустая строка (убрать галочку)</v>
      </c>
    </row>
    <row r="1490" spans="1:10" hidden="1">
      <c r="A1490" s="33">
        <f>IF(D1490=0,0,IF(D1489=0,A1488+1,A1489+1))</f>
        <v>0</v>
      </c>
      <c r="B1490" s="32" t="str">
        <f>"Рост стоимости "&amp;'Анализ стоимости'!$AW$1&amp;" г."</f>
        <v>Рост стоимости 2018 г.</v>
      </c>
      <c r="C1490" s="33" t="s">
        <v>116</v>
      </c>
      <c r="D1490" s="34">
        <f>VLOOKUP($F$52,таблица,38,0)</f>
        <v>0</v>
      </c>
      <c r="J1490" s="362" t="str">
        <f>IF(D1490=0,"Пустая строка (убрать галочку)",1)</f>
        <v>Пустая строка (убрать галочку)</v>
      </c>
    </row>
    <row r="1491" spans="1:10" hidden="1">
      <c r="A1491" s="33">
        <f>IF(D1491=0,0,IF(D1490=0,A1489+1,A1490+1))</f>
        <v>0</v>
      </c>
      <c r="B1491" s="32" t="str">
        <f>"Рост стоимости "&amp;'Анализ стоимости'!$AX$1&amp;" г."</f>
        <v>Рост стоимости 2019 г.</v>
      </c>
      <c r="C1491" s="33" t="s">
        <v>116</v>
      </c>
      <c r="D1491" s="34">
        <f>VLOOKUP($F$52,таблица,40,0)</f>
        <v>0</v>
      </c>
      <c r="J1491" s="362" t="str">
        <f>IF(D1491=0,"Пустая строка (убрать галочку)",1)</f>
        <v>Пустая строка (убрать галочку)</v>
      </c>
    </row>
    <row r="1492" spans="1:10" hidden="1">
      <c r="A1492" s="384" t="s">
        <v>117</v>
      </c>
      <c r="B1492" s="384"/>
      <c r="C1492" s="384"/>
      <c r="D1492" s="384"/>
      <c r="J1492" s="362" t="str">
        <f>IF($F$52=0,"Пустая строка (убрать галочку)",1)</f>
        <v>Пустая строка (убрать галочку)</v>
      </c>
    </row>
    <row r="1493" spans="1:10" ht="31.5" hidden="1">
      <c r="A1493" s="33">
        <f>IF(D1493=0,0,IF(D1491=0,IF(D1490=0,A1487+1,A1490+1),A1491+1))</f>
        <v>0</v>
      </c>
      <c r="B149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493" s="33" t="s">
        <v>116</v>
      </c>
      <c r="D1493" s="34">
        <f>SUM(VLOOKUP($F$52,таблица,37,0),D1490)</f>
        <v>0</v>
      </c>
      <c r="E1493" s="7"/>
      <c r="J1493" s="362" t="str">
        <f t="shared" ref="J1493:J1499" si="167">IF(D1493=0,"Пустая строка (убрать галочку)",1)</f>
        <v>Пустая строка (убрать галочку)</v>
      </c>
    </row>
    <row r="1494" spans="1:10" hidden="1">
      <c r="A1494" s="33">
        <f>IF(D1494=0,0,A1493+1)</f>
        <v>0</v>
      </c>
      <c r="B1494" s="45" t="s">
        <v>119</v>
      </c>
      <c r="C1494" s="33" t="s">
        <v>116</v>
      </c>
      <c r="D1494" s="34">
        <f>VLOOKUP($F$52,таблица,39,0)</f>
        <v>0</v>
      </c>
      <c r="E1494" s="7"/>
      <c r="J1494" s="362" t="str">
        <f t="shared" si="167"/>
        <v>Пустая строка (убрать галочку)</v>
      </c>
    </row>
    <row r="1495" spans="1:10" hidden="1">
      <c r="A1495" s="33">
        <f>IF(D1495=0,0,A1494+1)</f>
        <v>0</v>
      </c>
      <c r="B1495" s="45" t="str">
        <f>"Всего с НДС на "&amp;'Анализ стоимости'!$AW$1&amp;" г."</f>
        <v>Всего с НДС на 2018 г.</v>
      </c>
      <c r="C1495" s="33" t="s">
        <v>116</v>
      </c>
      <c r="D1495" s="46">
        <f>SUM(D1493:D1494)</f>
        <v>0</v>
      </c>
      <c r="E1495" s="56">
        <f>VLOOKUP($F$52,таблица,51,0)</f>
        <v>0</v>
      </c>
      <c r="J1495" s="362" t="str">
        <f t="shared" si="167"/>
        <v>Пустая строка (убрать галочку)</v>
      </c>
    </row>
    <row r="1496" spans="1:10" ht="31.5" hidden="1">
      <c r="A1496" s="33">
        <f>IF(D1496=0,0,IF(D1495=0,IF(D1491=0,A1487+1,A1491+1),A1495+1))</f>
        <v>0</v>
      </c>
      <c r="B149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496" s="33" t="s">
        <v>116</v>
      </c>
      <c r="D1496" s="34">
        <f>VLOOKUP($F$52,таблица,36,0)-VLOOKUP($F$52,таблица,37,0)+D1491</f>
        <v>0</v>
      </c>
      <c r="J1496" s="362" t="str">
        <f t="shared" si="167"/>
        <v>Пустая строка (убрать галочку)</v>
      </c>
    </row>
    <row r="1497" spans="1:10" hidden="1">
      <c r="A1497" s="33">
        <f>IF(D1497=0,0,A1496+1)</f>
        <v>0</v>
      </c>
      <c r="B1497" s="45" t="s">
        <v>119</v>
      </c>
      <c r="C1497" s="33" t="s">
        <v>116</v>
      </c>
      <c r="D1497" s="34">
        <f>VLOOKUP($F$52,таблица,41,0)</f>
        <v>0</v>
      </c>
      <c r="J1497" s="362" t="str">
        <f t="shared" si="167"/>
        <v>Пустая строка (убрать галочку)</v>
      </c>
    </row>
    <row r="1498" spans="1:10" hidden="1">
      <c r="A1498" s="33">
        <f>IF(D1498=0,0,A1497+1)</f>
        <v>0</v>
      </c>
      <c r="B1498" s="45" t="str">
        <f>"Всего с НДС на "&amp;'Анализ стоимости'!$AX$1&amp;" г."</f>
        <v>Всего с НДС на 2019 г.</v>
      </c>
      <c r="C1498" s="33" t="s">
        <v>116</v>
      </c>
      <c r="D1498" s="46">
        <f>SUM(D1496:D1497)</f>
        <v>0</v>
      </c>
      <c r="E1498" s="56">
        <f>VLOOKUP($F$52,таблица,52,0)</f>
        <v>0</v>
      </c>
      <c r="J1498" s="362" t="str">
        <f t="shared" si="167"/>
        <v>Пустая строка (убрать галочку)</v>
      </c>
    </row>
    <row r="1499" spans="1:10" hidden="1">
      <c r="A1499" s="33">
        <f>IF(D1499=0,0,A1498+1)</f>
        <v>0</v>
      </c>
      <c r="B1499" s="45" t="s">
        <v>118</v>
      </c>
      <c r="C1499" s="33" t="s">
        <v>116</v>
      </c>
      <c r="D1499" s="46">
        <f>IF(OR(D1495=0,D1498=0),0,D1498+D1495)</f>
        <v>0</v>
      </c>
      <c r="E1499" s="56">
        <f>VLOOKUP($F$52,таблица,42,0)</f>
        <v>0</v>
      </c>
      <c r="J1499" s="362" t="str">
        <f t="shared" si="167"/>
        <v>Пустая строка (убрать галочку)</v>
      </c>
    </row>
    <row r="1500" spans="1:10" hidden="1">
      <c r="A1500" s="13"/>
      <c r="B1500" s="13"/>
      <c r="C1500" s="13"/>
      <c r="D1500" s="14"/>
      <c r="J1500" s="362" t="str">
        <f>IF($F$52=0,"Пустая строка (убрать галочку)",1)</f>
        <v>Пустая строка (убрать галочку)</v>
      </c>
    </row>
    <row r="1501" spans="1:10" ht="47.25" hidden="1" customHeight="1">
      <c r="A150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501" s="382"/>
      <c r="C1501" s="67"/>
      <c r="D1501" s="48" t="str">
        <f>'Анализ стоимости'!$I$101</f>
        <v>Шестопал О.Н.</v>
      </c>
      <c r="G1501" s="43" t="str">
        <f>A1501</f>
        <v>Специалист администрации Старонижестеблиевского сельского поселения Красноармейского района</v>
      </c>
      <c r="J1501" s="362" t="str">
        <f>IF($F$52=0,"Пустая строка (убрать галочку)",1)</f>
        <v>Пустая строка (убрать галочку)</v>
      </c>
    </row>
    <row r="1502" spans="1:10" hidden="1">
      <c r="A1502" s="49"/>
      <c r="B1502" s="49"/>
      <c r="C1502" s="49"/>
      <c r="D1502" s="50"/>
      <c r="J1502" s="362" t="str">
        <f>IF($F$52=0,"Пустая строка (убрать галочку)",1)</f>
        <v>Пустая строка (убрать галочку)</v>
      </c>
    </row>
    <row r="1503" spans="1:10" hidden="1">
      <c r="A1503" s="375"/>
      <c r="B1503" s="375"/>
      <c r="C1503" s="3"/>
      <c r="D1503" s="3"/>
      <c r="J1503" s="362" t="str">
        <f>IF($F$52=0,"Пустая строка (убрать галочку)",1)</f>
        <v>Пустая строка (убрать галочку)</v>
      </c>
    </row>
    <row r="1504" spans="1:10" hidden="1">
      <c r="A1504" s="385" t="s">
        <v>187</v>
      </c>
      <c r="B1504" s="385"/>
      <c r="C1504" s="385"/>
      <c r="D1504" s="385"/>
      <c r="G1504" s="37"/>
      <c r="H1504" s="37"/>
      <c r="J1504" s="362" t="str">
        <f t="shared" ref="J1504:J1521" si="168">IF($F$53=0,"Пустая строка (убрать галочку)",1)</f>
        <v>Пустая строка (убрать галочку)</v>
      </c>
    </row>
    <row r="1505" spans="1:10" ht="47.25" hidden="1" customHeight="1">
      <c r="A1505" s="376" t="str">
        <f>CONCATENATE("Наименование объекта: ",VLOOKUP($F$53,таблица,9,0))</f>
        <v xml:space="preserve">Наименование объекта: </v>
      </c>
      <c r="B1505" s="376"/>
      <c r="C1505" s="376"/>
      <c r="D1505" s="376"/>
      <c r="I1505" s="58" t="str">
        <f>A1505</f>
        <v xml:space="preserve">Наименование объекта: </v>
      </c>
      <c r="J1505" s="362" t="str">
        <f t="shared" si="168"/>
        <v>Пустая строка (убрать галочку)</v>
      </c>
    </row>
    <row r="1506" spans="1:10" hidden="1">
      <c r="A1506" s="30"/>
      <c r="B1506" s="25"/>
      <c r="C1506" s="25"/>
      <c r="D1506" s="25"/>
      <c r="J1506" s="362" t="str">
        <f t="shared" si="168"/>
        <v>Пустая строка (убрать галочку)</v>
      </c>
    </row>
    <row r="1507" spans="1:10" hidden="1">
      <c r="A1507" s="29" t="s">
        <v>111</v>
      </c>
      <c r="B1507" s="22"/>
      <c r="C1507" s="22"/>
      <c r="D1507" s="22"/>
      <c r="J1507" s="362" t="str">
        <f t="shared" si="168"/>
        <v>Пустая строка (убрать галочку)</v>
      </c>
    </row>
    <row r="1508" spans="1:10" hidden="1">
      <c r="A1508" s="383" t="s">
        <v>112</v>
      </c>
      <c r="B1508" s="383"/>
      <c r="C1508" s="383"/>
      <c r="D1508" s="383"/>
      <c r="J1508" s="362" t="str">
        <f t="shared" si="168"/>
        <v>Пустая строка (убрать галочку)</v>
      </c>
    </row>
    <row r="1509" spans="1:10" ht="47.25" hidden="1">
      <c r="A1509" s="68" t="s">
        <v>67</v>
      </c>
      <c r="B1509" s="68" t="s">
        <v>98</v>
      </c>
      <c r="C1509" s="377" t="str">
        <f>CONCATENATE("Стоимость  согласно сметной документации (руб.) в текущих ценах по состоянию на ",VLOOKUP($F$53,таблица,5,0)," г.")</f>
        <v>Стоимость  согласно сметной документации (руб.) в текущих ценах по состоянию на  г.</v>
      </c>
      <c r="D1509" s="378"/>
      <c r="H1509" s="44" t="str">
        <f>C1509</f>
        <v>Стоимость  согласно сметной документации (руб.) в текущих ценах по состоянию на  г.</v>
      </c>
      <c r="J1509" s="362" t="str">
        <f t="shared" si="168"/>
        <v>Пустая строка (убрать галочку)</v>
      </c>
    </row>
    <row r="1510" spans="1:10" hidden="1">
      <c r="A1510" s="33">
        <v>1</v>
      </c>
      <c r="B1510" s="32" t="s">
        <v>46</v>
      </c>
      <c r="C1510" s="379">
        <f>VLOOKUP($F$53,таблица,10,0)</f>
        <v>0</v>
      </c>
      <c r="D1510" s="380"/>
      <c r="J1510" s="362" t="str">
        <f t="shared" si="168"/>
        <v>Пустая строка (убрать галочку)</v>
      </c>
    </row>
    <row r="1511" spans="1:10" hidden="1">
      <c r="A1511" s="33">
        <v>2</v>
      </c>
      <c r="B1511" s="32" t="s">
        <v>41</v>
      </c>
      <c r="C1511" s="379">
        <f>VLOOKUP($F$53,таблица,11,0)</f>
        <v>0</v>
      </c>
      <c r="D1511" s="380"/>
      <c r="J1511" s="362" t="str">
        <f t="shared" si="168"/>
        <v>Пустая строка (убрать галочку)</v>
      </c>
    </row>
    <row r="1512" spans="1:10" ht="31.5" hidden="1">
      <c r="A1512" s="33">
        <v>3</v>
      </c>
      <c r="B1512" s="32" t="s">
        <v>3</v>
      </c>
      <c r="C1512" s="379">
        <f>VLOOKUP($F$53,таблица,12,0)</f>
        <v>0</v>
      </c>
      <c r="D1512" s="380"/>
      <c r="J1512" s="362" t="str">
        <f t="shared" si="168"/>
        <v>Пустая строка (убрать галочку)</v>
      </c>
    </row>
    <row r="1513" spans="1:10" hidden="1">
      <c r="A1513" s="33">
        <v>4</v>
      </c>
      <c r="B1513" s="32" t="s">
        <v>42</v>
      </c>
      <c r="C1513" s="379">
        <f>VLOOKUP($F$53,таблица,13,0)</f>
        <v>0</v>
      </c>
      <c r="D1513" s="380"/>
      <c r="J1513" s="362" t="str">
        <f t="shared" si="168"/>
        <v>Пустая строка (убрать галочку)</v>
      </c>
    </row>
    <row r="1514" spans="1:10" hidden="1">
      <c r="A1514" s="33">
        <v>5</v>
      </c>
      <c r="B1514" s="32" t="s">
        <v>5</v>
      </c>
      <c r="C1514" s="379">
        <f>VLOOKUP($F$53,таблица,14,0)</f>
        <v>0</v>
      </c>
      <c r="D1514" s="380"/>
      <c r="J1514" s="362" t="str">
        <f t="shared" si="168"/>
        <v>Пустая строка (убрать галочку)</v>
      </c>
    </row>
    <row r="1515" spans="1:10" hidden="1">
      <c r="A1515" s="33">
        <v>6</v>
      </c>
      <c r="B1515" s="32" t="s">
        <v>12</v>
      </c>
      <c r="C1515" s="379">
        <f>VLOOKUP($F$53,таблица,18,0)</f>
        <v>0</v>
      </c>
      <c r="D1515" s="380"/>
      <c r="J1515" s="362" t="str">
        <f t="shared" si="168"/>
        <v>Пустая строка (убрать галочку)</v>
      </c>
    </row>
    <row r="1516" spans="1:10" hidden="1">
      <c r="A1516" s="33">
        <v>7</v>
      </c>
      <c r="B1516" s="32" t="s">
        <v>88</v>
      </c>
      <c r="C1516" s="379">
        <f>VLOOKUP($F$53,таблица,19,0)+VLOOKUP($F$53,таблица,21,0)+VLOOKUP($F$53,таблица,22,0)+VLOOKUP($F$53,таблица,23,0)+VLOOKUP($F$53,таблица,24,0)+VLOOKUP($F$53,таблица,25,0)+VLOOKUP($F$53,таблица,26,0)</f>
        <v>0</v>
      </c>
      <c r="D1516" s="380"/>
      <c r="J1516" s="362" t="str">
        <f t="shared" si="168"/>
        <v>Пустая строка (убрать галочку)</v>
      </c>
    </row>
    <row r="1517" spans="1:10" hidden="1">
      <c r="A1517" s="33">
        <v>8</v>
      </c>
      <c r="B1517" s="32" t="s">
        <v>62</v>
      </c>
      <c r="C1517" s="379">
        <f>VLOOKUP($F$53,таблица,31,0)</f>
        <v>0</v>
      </c>
      <c r="D1517" s="380"/>
      <c r="J1517" s="362" t="str">
        <f t="shared" si="168"/>
        <v>Пустая строка (убрать галочку)</v>
      </c>
    </row>
    <row r="1518" spans="1:10" hidden="1">
      <c r="A1518" s="33">
        <v>9</v>
      </c>
      <c r="B1518" s="32" t="s">
        <v>127</v>
      </c>
      <c r="C1518" s="379">
        <f>SUM(C1510:D1517)</f>
        <v>0</v>
      </c>
      <c r="D1518" s="380"/>
      <c r="J1518" s="362" t="str">
        <f t="shared" si="168"/>
        <v>Пустая строка (убрать галочку)</v>
      </c>
    </row>
    <row r="1519" spans="1:10" hidden="1">
      <c r="A1519" s="384" t="s">
        <v>122</v>
      </c>
      <c r="B1519" s="384"/>
      <c r="C1519" s="384"/>
      <c r="D1519" s="384"/>
      <c r="J1519" s="362" t="str">
        <f t="shared" si="168"/>
        <v>Пустая строка (убрать галочку)</v>
      </c>
    </row>
    <row r="1520" spans="1:10" ht="31.5" hidden="1">
      <c r="A1520" s="35" t="s">
        <v>67</v>
      </c>
      <c r="B1520" s="68" t="s">
        <v>21</v>
      </c>
      <c r="C1520" s="68" t="s">
        <v>114</v>
      </c>
      <c r="D1520" s="68" t="s">
        <v>99</v>
      </c>
      <c r="J1520" s="362" t="str">
        <f t="shared" si="168"/>
        <v>Пустая строка (убрать галочку)</v>
      </c>
    </row>
    <row r="1521" spans="1:10" hidden="1">
      <c r="A1521" s="33">
        <v>10</v>
      </c>
      <c r="B1521" s="33" t="e">
        <f>VLOOKUP((VLOOKUP($F$53,таблица,8,0)),рем_содер,2,0)</f>
        <v>#N/A</v>
      </c>
      <c r="C1521" s="33"/>
      <c r="D1521" s="32"/>
      <c r="J1521" s="362" t="str">
        <f t="shared" si="168"/>
        <v>Пустая строка (убрать галочку)</v>
      </c>
    </row>
    <row r="1522" spans="1:10" hidden="1">
      <c r="A1522" s="33">
        <f>IF(D1522=0,0,A1521+1)</f>
        <v>0</v>
      </c>
      <c r="B1522" s="32" t="e">
        <f>CONCATENATE('Анализ стоимости'!$AW$1," г (",CHOOSE(VLOOKUP(F$53,таблица,43,0),"Январь","Февраль","Март","Апрель","Май","Июнь","Июль","Август","Сентябрь","Октябрь","Ноябрь","Декабрь")," - ",CHOOSE(VLOOKUP(F$53,таблица,44,0),"Январь","Февраль","Март","Апрель","Май","Июнь","Июль","Август","Сентябрь","Октябрь","Ноябрь","Декабрь"),")")</f>
        <v>#VALUE!</v>
      </c>
      <c r="C1522" s="33" t="s">
        <v>115</v>
      </c>
      <c r="D1522" s="55">
        <f>IF(D1524=0,0,VLOOKUP($F$53,таблица,49,0)*100+100)</f>
        <v>0</v>
      </c>
      <c r="J1522" s="362" t="str">
        <f>IF(D1522=0,"Пустая строка (убрать галочку)",1)</f>
        <v>Пустая строка (убрать галочку)</v>
      </c>
    </row>
    <row r="1523" spans="1:10" hidden="1">
      <c r="A1523" s="33">
        <f>IF(D1523=0,0,IF(D1522=0,A1521+1,A1522+1))</f>
        <v>0</v>
      </c>
      <c r="B1523" s="32" t="e">
        <f>CONCATENATE('Анализ стоимости'!$AX$1," г (",CHOOSE(VLOOKUP(F$53,таблица,45,0),"Январь","Февраль","Март","Апрель","Май","Июнь","Июль","Август","Сентябрь","Октябрь","Ноябрь","Декабрь")," - ",CHOOSE(VLOOKUP(F$53,таблица,46,0),"Январь","Февраль","Март","Апрель","Май","Июнь","Июль","Август","Сентябрь","Октябрь","Ноябрь","Декабрь"),")")</f>
        <v>#VALUE!</v>
      </c>
      <c r="C1523" s="33" t="s">
        <v>115</v>
      </c>
      <c r="D1523" s="55">
        <f>IF(D1525=0,0,VLOOKUP($F$53,таблица,50,0)*100+100)</f>
        <v>0</v>
      </c>
      <c r="J1523" s="362" t="str">
        <f>IF(D1523=0,"Пустая строка (убрать галочку)",1)</f>
        <v>Пустая строка (убрать галочку)</v>
      </c>
    </row>
    <row r="1524" spans="1:10" hidden="1">
      <c r="A1524" s="33">
        <f>IF(D1524=0,0,IF(D1523=0,A1522+1,A1523+1))</f>
        <v>0</v>
      </c>
      <c r="B1524" s="32" t="str">
        <f>"Рост стоимости "&amp;'Анализ стоимости'!$AW$1&amp;" г."</f>
        <v>Рост стоимости 2018 г.</v>
      </c>
      <c r="C1524" s="33" t="s">
        <v>116</v>
      </c>
      <c r="D1524" s="34">
        <f>VLOOKUP($F$53,таблица,38,0)</f>
        <v>0</v>
      </c>
      <c r="J1524" s="362" t="str">
        <f>IF(D1524=0,"Пустая строка (убрать галочку)",1)</f>
        <v>Пустая строка (убрать галочку)</v>
      </c>
    </row>
    <row r="1525" spans="1:10" hidden="1">
      <c r="A1525" s="33">
        <f>IF(D1525=0,0,IF(D1524=0,A1523+1,A1524+1))</f>
        <v>0</v>
      </c>
      <c r="B1525" s="32" t="str">
        <f>"Рост стоимости "&amp;'Анализ стоимости'!$AX$1&amp;" г."</f>
        <v>Рост стоимости 2019 г.</v>
      </c>
      <c r="C1525" s="33" t="s">
        <v>116</v>
      </c>
      <c r="D1525" s="34">
        <f>VLOOKUP($F$53,таблица,40,0)</f>
        <v>0</v>
      </c>
      <c r="J1525" s="362" t="str">
        <f>IF(D1525=0,"Пустая строка (убрать галочку)",1)</f>
        <v>Пустая строка (убрать галочку)</v>
      </c>
    </row>
    <row r="1526" spans="1:10" hidden="1">
      <c r="A1526" s="384" t="s">
        <v>117</v>
      </c>
      <c r="B1526" s="384"/>
      <c r="C1526" s="384"/>
      <c r="D1526" s="384"/>
      <c r="J1526" s="362" t="str">
        <f>IF($F$53=0,"Пустая строка (убрать галочку)",1)</f>
        <v>Пустая строка (убрать галочку)</v>
      </c>
    </row>
    <row r="1527" spans="1:10" ht="31.5" hidden="1">
      <c r="A1527" s="33">
        <f>IF(D1527=0,0,IF(D1525=0,IF(D1524=0,A1521+1,A1524+1),A1525+1))</f>
        <v>0</v>
      </c>
      <c r="B1527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527" s="33" t="s">
        <v>116</v>
      </c>
      <c r="D1527" s="34">
        <f>SUM(VLOOKUP($F$53,таблица,37,0),D1524)</f>
        <v>0</v>
      </c>
      <c r="E1527" s="7"/>
      <c r="J1527" s="362" t="str">
        <f t="shared" ref="J1527:J1533" si="169">IF(D1527=0,"Пустая строка (убрать галочку)",1)</f>
        <v>Пустая строка (убрать галочку)</v>
      </c>
    </row>
    <row r="1528" spans="1:10" hidden="1">
      <c r="A1528" s="33">
        <f>IF(D1528=0,0,A1527+1)</f>
        <v>0</v>
      </c>
      <c r="B1528" s="45" t="s">
        <v>119</v>
      </c>
      <c r="C1528" s="33" t="s">
        <v>116</v>
      </c>
      <c r="D1528" s="34">
        <f>VLOOKUP($F$53,таблица,39,0)</f>
        <v>0</v>
      </c>
      <c r="E1528" s="7"/>
      <c r="J1528" s="362" t="str">
        <f t="shared" si="169"/>
        <v>Пустая строка (убрать галочку)</v>
      </c>
    </row>
    <row r="1529" spans="1:10" hidden="1">
      <c r="A1529" s="33">
        <f>IF(D1529=0,0,A1528+1)</f>
        <v>0</v>
      </c>
      <c r="B1529" s="45" t="str">
        <f>"Всего с НДС на "&amp;'Анализ стоимости'!$AW$1&amp;" г."</f>
        <v>Всего с НДС на 2018 г.</v>
      </c>
      <c r="C1529" s="33" t="s">
        <v>116</v>
      </c>
      <c r="D1529" s="46">
        <f>SUM(D1527:D1528)</f>
        <v>0</v>
      </c>
      <c r="E1529" s="56">
        <f>VLOOKUP($F$53,таблица,51,0)</f>
        <v>0</v>
      </c>
      <c r="J1529" s="362" t="str">
        <f t="shared" si="169"/>
        <v>Пустая строка (убрать галочку)</v>
      </c>
    </row>
    <row r="1530" spans="1:10" ht="31.5" hidden="1">
      <c r="A1530" s="33">
        <f>IF(D1530=0,0,IF(D1529=0,IF(D1525=0,A1521+1,A1525+1),A1529+1))</f>
        <v>0</v>
      </c>
      <c r="B1530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530" s="33" t="s">
        <v>116</v>
      </c>
      <c r="D1530" s="34">
        <f>VLOOKUP($F$53,таблица,36,0)-VLOOKUP($F$53,таблица,37,0)+D1525</f>
        <v>0</v>
      </c>
      <c r="J1530" s="362" t="str">
        <f t="shared" si="169"/>
        <v>Пустая строка (убрать галочку)</v>
      </c>
    </row>
    <row r="1531" spans="1:10" hidden="1">
      <c r="A1531" s="33">
        <f>IF(D1531=0,0,A1530+1)</f>
        <v>0</v>
      </c>
      <c r="B1531" s="45" t="s">
        <v>119</v>
      </c>
      <c r="C1531" s="33" t="s">
        <v>116</v>
      </c>
      <c r="D1531" s="34">
        <f>VLOOKUP($F$53,таблица,41,0)</f>
        <v>0</v>
      </c>
      <c r="J1531" s="362" t="str">
        <f t="shared" si="169"/>
        <v>Пустая строка (убрать галочку)</v>
      </c>
    </row>
    <row r="1532" spans="1:10" hidden="1">
      <c r="A1532" s="33">
        <f>IF(D1532=0,0,A1531+1)</f>
        <v>0</v>
      </c>
      <c r="B1532" s="45" t="str">
        <f>"Всего с НДС на "&amp;'Анализ стоимости'!$AX$1&amp;" г."</f>
        <v>Всего с НДС на 2019 г.</v>
      </c>
      <c r="C1532" s="33" t="s">
        <v>116</v>
      </c>
      <c r="D1532" s="46">
        <f>SUM(D1530:D1531)</f>
        <v>0</v>
      </c>
      <c r="E1532" s="56">
        <f>VLOOKUP($F$53,таблица,52,0)</f>
        <v>0</v>
      </c>
      <c r="J1532" s="362" t="str">
        <f t="shared" si="169"/>
        <v>Пустая строка (убрать галочку)</v>
      </c>
    </row>
    <row r="1533" spans="1:10" hidden="1">
      <c r="A1533" s="33">
        <f>IF(D1533=0,0,A1532+1)</f>
        <v>0</v>
      </c>
      <c r="B1533" s="45" t="s">
        <v>118</v>
      </c>
      <c r="C1533" s="33" t="s">
        <v>116</v>
      </c>
      <c r="D1533" s="46">
        <f>IF(OR(D1529=0,D1532=0),0,D1532+D1529)</f>
        <v>0</v>
      </c>
      <c r="E1533" s="56">
        <f>VLOOKUP($F$53,таблица,42,0)</f>
        <v>0</v>
      </c>
      <c r="J1533" s="362" t="str">
        <f t="shared" si="169"/>
        <v>Пустая строка (убрать галочку)</v>
      </c>
    </row>
    <row r="1534" spans="1:10" hidden="1">
      <c r="A1534" s="13"/>
      <c r="B1534" s="13"/>
      <c r="C1534" s="13"/>
      <c r="D1534" s="14"/>
      <c r="J1534" s="362" t="str">
        <f>IF($F$53=0,"Пустая строка (убрать галочку)",1)</f>
        <v>Пустая строка (убрать галочку)</v>
      </c>
    </row>
    <row r="1535" spans="1:10" ht="47.25" hidden="1" customHeight="1">
      <c r="A1535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535" s="382"/>
      <c r="C1535" s="67"/>
      <c r="D1535" s="48" t="str">
        <f>'Анализ стоимости'!$I$101</f>
        <v>Шестопал О.Н.</v>
      </c>
      <c r="G1535" s="43" t="str">
        <f>A1535</f>
        <v>Специалист администрации Старонижестеблиевского сельского поселения Красноармейского района</v>
      </c>
      <c r="J1535" s="362" t="str">
        <f>IF($F$53=0,"Пустая строка (убрать галочку)",1)</f>
        <v>Пустая строка (убрать галочку)</v>
      </c>
    </row>
    <row r="1536" spans="1:10" hidden="1">
      <c r="A1536" s="49"/>
      <c r="B1536" s="49"/>
      <c r="C1536" s="49"/>
      <c r="D1536" s="50"/>
      <c r="J1536" s="362" t="str">
        <f>IF($F$53=0,"Пустая строка (убрать галочку)",1)</f>
        <v>Пустая строка (убрать галочку)</v>
      </c>
    </row>
    <row r="1537" spans="1:10" hidden="1">
      <c r="A1537" s="375"/>
      <c r="B1537" s="375"/>
      <c r="C1537" s="3"/>
      <c r="D1537" s="3"/>
      <c r="J1537" s="362" t="str">
        <f>IF($F$53=0,"Пустая строка (убрать галочку)",1)</f>
        <v>Пустая строка (убрать галочку)</v>
      </c>
    </row>
    <row r="1538" spans="1:10" hidden="1">
      <c r="A1538" s="385" t="s">
        <v>188</v>
      </c>
      <c r="B1538" s="385"/>
      <c r="C1538" s="385"/>
      <c r="D1538" s="385"/>
      <c r="G1538" s="37"/>
      <c r="H1538" s="37"/>
      <c r="J1538" s="362" t="str">
        <f t="shared" ref="J1538:J1555" si="170">IF($F$54=0,"Пустая строка (убрать галочку)",1)</f>
        <v>Пустая строка (убрать галочку)</v>
      </c>
    </row>
    <row r="1539" spans="1:10" ht="47.25" hidden="1" customHeight="1">
      <c r="A1539" s="376" t="str">
        <f>CONCATENATE("Наименование объекта: ",VLOOKUP($F$54,таблица,9,0))</f>
        <v xml:space="preserve">Наименование объекта: </v>
      </c>
      <c r="B1539" s="376"/>
      <c r="C1539" s="376"/>
      <c r="D1539" s="376"/>
      <c r="I1539" s="58" t="str">
        <f>A1539</f>
        <v xml:space="preserve">Наименование объекта: </v>
      </c>
      <c r="J1539" s="362" t="str">
        <f t="shared" si="170"/>
        <v>Пустая строка (убрать галочку)</v>
      </c>
    </row>
    <row r="1540" spans="1:10" hidden="1">
      <c r="A1540" s="30"/>
      <c r="B1540" s="25"/>
      <c r="C1540" s="25"/>
      <c r="D1540" s="25"/>
      <c r="J1540" s="362" t="str">
        <f t="shared" si="170"/>
        <v>Пустая строка (убрать галочку)</v>
      </c>
    </row>
    <row r="1541" spans="1:10" hidden="1">
      <c r="A1541" s="29" t="s">
        <v>111</v>
      </c>
      <c r="B1541" s="22"/>
      <c r="C1541" s="22"/>
      <c r="D1541" s="22"/>
      <c r="J1541" s="362" t="str">
        <f t="shared" si="170"/>
        <v>Пустая строка (убрать галочку)</v>
      </c>
    </row>
    <row r="1542" spans="1:10" hidden="1">
      <c r="A1542" s="383" t="s">
        <v>112</v>
      </c>
      <c r="B1542" s="383"/>
      <c r="C1542" s="383"/>
      <c r="D1542" s="383"/>
      <c r="J1542" s="362" t="str">
        <f t="shared" si="170"/>
        <v>Пустая строка (убрать галочку)</v>
      </c>
    </row>
    <row r="1543" spans="1:10" ht="47.25" hidden="1">
      <c r="A1543" s="68" t="s">
        <v>67</v>
      </c>
      <c r="B1543" s="68" t="s">
        <v>98</v>
      </c>
      <c r="C1543" s="377" t="str">
        <f>CONCATENATE("Стоимость  согласно сметной документации (руб.) в текущих ценах по состоянию на ",VLOOKUP($F$54,таблица,5,0)," г.")</f>
        <v>Стоимость  согласно сметной документации (руб.) в текущих ценах по состоянию на  г.</v>
      </c>
      <c r="D1543" s="378"/>
      <c r="H1543" s="44" t="str">
        <f>C1543</f>
        <v>Стоимость  согласно сметной документации (руб.) в текущих ценах по состоянию на  г.</v>
      </c>
      <c r="J1543" s="362" t="str">
        <f t="shared" si="170"/>
        <v>Пустая строка (убрать галочку)</v>
      </c>
    </row>
    <row r="1544" spans="1:10" hidden="1">
      <c r="A1544" s="33">
        <v>1</v>
      </c>
      <c r="B1544" s="32" t="s">
        <v>46</v>
      </c>
      <c r="C1544" s="379">
        <f>VLOOKUP($F$54,таблица,10,0)</f>
        <v>0</v>
      </c>
      <c r="D1544" s="380"/>
      <c r="J1544" s="362" t="str">
        <f t="shared" si="170"/>
        <v>Пустая строка (убрать галочку)</v>
      </c>
    </row>
    <row r="1545" spans="1:10" hidden="1">
      <c r="A1545" s="33">
        <v>2</v>
      </c>
      <c r="B1545" s="32" t="s">
        <v>41</v>
      </c>
      <c r="C1545" s="379">
        <f>VLOOKUP($F$54,таблица,11,0)</f>
        <v>0</v>
      </c>
      <c r="D1545" s="380"/>
      <c r="J1545" s="362" t="str">
        <f t="shared" si="170"/>
        <v>Пустая строка (убрать галочку)</v>
      </c>
    </row>
    <row r="1546" spans="1:10" ht="31.5" hidden="1">
      <c r="A1546" s="33">
        <v>3</v>
      </c>
      <c r="B1546" s="32" t="s">
        <v>3</v>
      </c>
      <c r="C1546" s="379">
        <f>VLOOKUP($F$54,таблица,12,0)</f>
        <v>0</v>
      </c>
      <c r="D1546" s="380"/>
      <c r="J1546" s="362" t="str">
        <f t="shared" si="170"/>
        <v>Пустая строка (убрать галочку)</v>
      </c>
    </row>
    <row r="1547" spans="1:10" hidden="1">
      <c r="A1547" s="33">
        <v>4</v>
      </c>
      <c r="B1547" s="32" t="s">
        <v>42</v>
      </c>
      <c r="C1547" s="379">
        <f>VLOOKUP($F$54,таблица,13,0)</f>
        <v>0</v>
      </c>
      <c r="D1547" s="380"/>
      <c r="J1547" s="362" t="str">
        <f t="shared" si="170"/>
        <v>Пустая строка (убрать галочку)</v>
      </c>
    </row>
    <row r="1548" spans="1:10" hidden="1">
      <c r="A1548" s="33">
        <v>5</v>
      </c>
      <c r="B1548" s="32" t="s">
        <v>5</v>
      </c>
      <c r="C1548" s="379">
        <f>VLOOKUP($F$54,таблица,14,0)</f>
        <v>0</v>
      </c>
      <c r="D1548" s="380"/>
      <c r="J1548" s="362" t="str">
        <f t="shared" si="170"/>
        <v>Пустая строка (убрать галочку)</v>
      </c>
    </row>
    <row r="1549" spans="1:10" hidden="1">
      <c r="A1549" s="33">
        <v>6</v>
      </c>
      <c r="B1549" s="32" t="s">
        <v>12</v>
      </c>
      <c r="C1549" s="379">
        <f>VLOOKUP($F$54,таблица,18,0)</f>
        <v>0</v>
      </c>
      <c r="D1549" s="380"/>
      <c r="J1549" s="362" t="str">
        <f t="shared" si="170"/>
        <v>Пустая строка (убрать галочку)</v>
      </c>
    </row>
    <row r="1550" spans="1:10" hidden="1">
      <c r="A1550" s="33">
        <v>7</v>
      </c>
      <c r="B1550" s="32" t="s">
        <v>88</v>
      </c>
      <c r="C1550" s="379">
        <f>VLOOKUP($F$54,таблица,19,0)+VLOOKUP($F$54,таблица,21,0)+VLOOKUP($F$54,таблица,22,0)+VLOOKUP($F$54,таблица,23,0)+VLOOKUP($F$54,таблица,24,0)+VLOOKUP($F$54,таблица,25,0)+VLOOKUP($F$54,таблица,26,0)</f>
        <v>0</v>
      </c>
      <c r="D1550" s="380"/>
      <c r="J1550" s="362" t="str">
        <f t="shared" si="170"/>
        <v>Пустая строка (убрать галочку)</v>
      </c>
    </row>
    <row r="1551" spans="1:10" hidden="1">
      <c r="A1551" s="33">
        <v>8</v>
      </c>
      <c r="B1551" s="32" t="s">
        <v>62</v>
      </c>
      <c r="C1551" s="379">
        <f>VLOOKUP($F$54,таблица,31,0)</f>
        <v>0</v>
      </c>
      <c r="D1551" s="380"/>
      <c r="J1551" s="362" t="str">
        <f t="shared" si="170"/>
        <v>Пустая строка (убрать галочку)</v>
      </c>
    </row>
    <row r="1552" spans="1:10" hidden="1">
      <c r="A1552" s="33">
        <v>9</v>
      </c>
      <c r="B1552" s="32" t="s">
        <v>127</v>
      </c>
      <c r="C1552" s="379">
        <f>SUM(C1544:D1551)</f>
        <v>0</v>
      </c>
      <c r="D1552" s="380"/>
      <c r="J1552" s="362" t="str">
        <f t="shared" si="170"/>
        <v>Пустая строка (убрать галочку)</v>
      </c>
    </row>
    <row r="1553" spans="1:10" hidden="1">
      <c r="A1553" s="384" t="s">
        <v>122</v>
      </c>
      <c r="B1553" s="384"/>
      <c r="C1553" s="384"/>
      <c r="D1553" s="384"/>
      <c r="J1553" s="362" t="str">
        <f t="shared" si="170"/>
        <v>Пустая строка (убрать галочку)</v>
      </c>
    </row>
    <row r="1554" spans="1:10" ht="31.5" hidden="1">
      <c r="A1554" s="35" t="s">
        <v>67</v>
      </c>
      <c r="B1554" s="68" t="s">
        <v>21</v>
      </c>
      <c r="C1554" s="68" t="s">
        <v>114</v>
      </c>
      <c r="D1554" s="68" t="s">
        <v>99</v>
      </c>
      <c r="J1554" s="362" t="str">
        <f t="shared" si="170"/>
        <v>Пустая строка (убрать галочку)</v>
      </c>
    </row>
    <row r="1555" spans="1:10" hidden="1">
      <c r="A1555" s="33">
        <v>10</v>
      </c>
      <c r="B1555" s="33" t="e">
        <f>VLOOKUP((VLOOKUP($F$54,таблица,8,0)),рем_содер,2,0)</f>
        <v>#N/A</v>
      </c>
      <c r="C1555" s="33"/>
      <c r="D1555" s="32"/>
      <c r="J1555" s="362" t="str">
        <f t="shared" si="170"/>
        <v>Пустая строка (убрать галочку)</v>
      </c>
    </row>
    <row r="1556" spans="1:10" hidden="1">
      <c r="A1556" s="33">
        <f>IF(D1556=0,0,A1555+1)</f>
        <v>0</v>
      </c>
      <c r="B1556" s="32" t="e">
        <f>CONCATENATE('Анализ стоимости'!$AW$1," г (",CHOOSE(VLOOKUP(F$54,таблица,43,0),"Январь","Февраль","Март","Апрель","Май","Июнь","Июль","Август","Сентябрь","Октябрь","Ноябрь","Декабрь")," - ",CHOOSE(VLOOKUP(F$54,таблица,44,0),"Январь","Февраль","Март","Апрель","Май","Июнь","Июль","Август","Сентябрь","Октябрь","Ноябрь","Декабрь"),")")</f>
        <v>#VALUE!</v>
      </c>
      <c r="C1556" s="33" t="s">
        <v>115</v>
      </c>
      <c r="D1556" s="55">
        <f>IF(D1558=0,0,VLOOKUP($F$54,таблица,49,0)*100+100)</f>
        <v>0</v>
      </c>
      <c r="J1556" s="362" t="str">
        <f>IF(D1556=0,"Пустая строка (убрать галочку)",1)</f>
        <v>Пустая строка (убрать галочку)</v>
      </c>
    </row>
    <row r="1557" spans="1:10" hidden="1">
      <c r="A1557" s="33">
        <f>IF(D1557=0,0,IF(D1556=0,A1555+1,A1556+1))</f>
        <v>0</v>
      </c>
      <c r="B1557" s="32" t="e">
        <f>CONCATENATE('Анализ стоимости'!$AX$1," г (",CHOOSE(VLOOKUP(F$54,таблица,45,0),"Январь","Февраль","Март","Апрель","Май","Июнь","Июль","Август","Сентябрь","Октябрь","Ноябрь","Декабрь")," - ",CHOOSE(VLOOKUP(F$54,таблица,46,0),"Январь","Февраль","Март","Апрель","Май","Июнь","Июль","Август","Сентябрь","Октябрь","Ноябрь","Декабрь"),")")</f>
        <v>#VALUE!</v>
      </c>
      <c r="C1557" s="33" t="s">
        <v>115</v>
      </c>
      <c r="D1557" s="55">
        <f>IF(D1559=0,0,VLOOKUP($F$54,таблица,50,0)*100+100)</f>
        <v>0</v>
      </c>
      <c r="J1557" s="362" t="str">
        <f>IF(D1557=0,"Пустая строка (убрать галочку)",1)</f>
        <v>Пустая строка (убрать галочку)</v>
      </c>
    </row>
    <row r="1558" spans="1:10" hidden="1">
      <c r="A1558" s="33">
        <f>IF(D1558=0,0,IF(D1557=0,A1556+1,A1557+1))</f>
        <v>0</v>
      </c>
      <c r="B1558" s="32" t="str">
        <f>"Рост стоимости "&amp;'Анализ стоимости'!$AW$1&amp;" г."</f>
        <v>Рост стоимости 2018 г.</v>
      </c>
      <c r="C1558" s="33" t="s">
        <v>116</v>
      </c>
      <c r="D1558" s="34">
        <f>VLOOKUP($F$54,таблица,38,0)</f>
        <v>0</v>
      </c>
      <c r="J1558" s="362" t="str">
        <f>IF(D1558=0,"Пустая строка (убрать галочку)",1)</f>
        <v>Пустая строка (убрать галочку)</v>
      </c>
    </row>
    <row r="1559" spans="1:10" hidden="1">
      <c r="A1559" s="33">
        <f>IF(D1559=0,0,IF(D1558=0,A1557+1,A1558+1))</f>
        <v>0</v>
      </c>
      <c r="B1559" s="32" t="str">
        <f>"Рост стоимости "&amp;'Анализ стоимости'!$AX$1&amp;" г."</f>
        <v>Рост стоимости 2019 г.</v>
      </c>
      <c r="C1559" s="33" t="s">
        <v>116</v>
      </c>
      <c r="D1559" s="34">
        <f>VLOOKUP($F$54,таблица,40,0)</f>
        <v>0</v>
      </c>
      <c r="J1559" s="362" t="str">
        <f>IF(D1559=0,"Пустая строка (убрать галочку)",1)</f>
        <v>Пустая строка (убрать галочку)</v>
      </c>
    </row>
    <row r="1560" spans="1:10" hidden="1">
      <c r="A1560" s="384" t="s">
        <v>117</v>
      </c>
      <c r="B1560" s="384"/>
      <c r="C1560" s="384"/>
      <c r="D1560" s="384"/>
      <c r="J1560" s="362" t="str">
        <f>IF($F$54=0,"Пустая строка (убрать галочку)",1)</f>
        <v>Пустая строка (убрать галочку)</v>
      </c>
    </row>
    <row r="1561" spans="1:10" ht="31.5" hidden="1">
      <c r="A1561" s="33">
        <f>IF(D1561=0,0,IF(D1559=0,IF(D1558=0,A1555+1,A1558+1),A1559+1))</f>
        <v>0</v>
      </c>
      <c r="B1561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561" s="33" t="s">
        <v>116</v>
      </c>
      <c r="D1561" s="34">
        <f>SUM(VLOOKUP($F$54,таблица,37,0),D1558)</f>
        <v>0</v>
      </c>
      <c r="E1561" s="7"/>
      <c r="J1561" s="362" t="str">
        <f t="shared" ref="J1561:J1567" si="171">IF(D1561=0,"Пустая строка (убрать галочку)",1)</f>
        <v>Пустая строка (убрать галочку)</v>
      </c>
    </row>
    <row r="1562" spans="1:10" hidden="1">
      <c r="A1562" s="33">
        <f>IF(D1562=0,0,A1561+1)</f>
        <v>0</v>
      </c>
      <c r="B1562" s="45" t="s">
        <v>119</v>
      </c>
      <c r="C1562" s="33" t="s">
        <v>116</v>
      </c>
      <c r="D1562" s="34">
        <f>VLOOKUP($F$54,таблица,39,0)</f>
        <v>0</v>
      </c>
      <c r="E1562" s="7"/>
      <c r="J1562" s="362" t="str">
        <f t="shared" si="171"/>
        <v>Пустая строка (убрать галочку)</v>
      </c>
    </row>
    <row r="1563" spans="1:10" hidden="1">
      <c r="A1563" s="33">
        <f>IF(D1563=0,0,A1562+1)</f>
        <v>0</v>
      </c>
      <c r="B1563" s="45" t="str">
        <f>"Всего с НДС на "&amp;'Анализ стоимости'!$AW$1&amp;" г."</f>
        <v>Всего с НДС на 2018 г.</v>
      </c>
      <c r="C1563" s="33" t="s">
        <v>116</v>
      </c>
      <c r="D1563" s="46">
        <f>SUM(D1561:D1562)</f>
        <v>0</v>
      </c>
      <c r="E1563" s="56">
        <f>VLOOKUP($F$54,таблица,51,0)</f>
        <v>0</v>
      </c>
      <c r="J1563" s="362" t="str">
        <f t="shared" si="171"/>
        <v>Пустая строка (убрать галочку)</v>
      </c>
    </row>
    <row r="1564" spans="1:10" ht="31.5" hidden="1">
      <c r="A1564" s="33">
        <f>IF(D1564=0,0,IF(D1563=0,IF(D1559=0,A1555+1,A1559+1),A1563+1))</f>
        <v>0</v>
      </c>
      <c r="B1564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564" s="33" t="s">
        <v>116</v>
      </c>
      <c r="D1564" s="34">
        <f>VLOOKUP($F$54,таблица,36,0)-VLOOKUP($F$54,таблица,37,0)+D1559</f>
        <v>0</v>
      </c>
      <c r="J1564" s="362" t="str">
        <f t="shared" si="171"/>
        <v>Пустая строка (убрать галочку)</v>
      </c>
    </row>
    <row r="1565" spans="1:10" hidden="1">
      <c r="A1565" s="33">
        <f>IF(D1565=0,0,A1564+1)</f>
        <v>0</v>
      </c>
      <c r="B1565" s="45" t="s">
        <v>119</v>
      </c>
      <c r="C1565" s="33" t="s">
        <v>116</v>
      </c>
      <c r="D1565" s="34">
        <f>VLOOKUP($F$54,таблица,41,0)</f>
        <v>0</v>
      </c>
      <c r="J1565" s="362" t="str">
        <f t="shared" si="171"/>
        <v>Пустая строка (убрать галочку)</v>
      </c>
    </row>
    <row r="1566" spans="1:10" hidden="1">
      <c r="A1566" s="33">
        <f>IF(D1566=0,0,A1565+1)</f>
        <v>0</v>
      </c>
      <c r="B1566" s="45" t="str">
        <f>"Всего с НДС на "&amp;'Анализ стоимости'!$AX$1&amp;" г."</f>
        <v>Всего с НДС на 2019 г.</v>
      </c>
      <c r="C1566" s="33" t="s">
        <v>116</v>
      </c>
      <c r="D1566" s="46">
        <f>SUM(D1564:D1565)</f>
        <v>0</v>
      </c>
      <c r="E1566" s="56">
        <f>VLOOKUP($F$54,таблица,52,0)</f>
        <v>0</v>
      </c>
      <c r="J1566" s="362" t="str">
        <f t="shared" si="171"/>
        <v>Пустая строка (убрать галочку)</v>
      </c>
    </row>
    <row r="1567" spans="1:10" hidden="1">
      <c r="A1567" s="33">
        <f>IF(D1567=0,0,A1566+1)</f>
        <v>0</v>
      </c>
      <c r="B1567" s="45" t="s">
        <v>118</v>
      </c>
      <c r="C1567" s="33" t="s">
        <v>116</v>
      </c>
      <c r="D1567" s="46">
        <f>IF(OR(D1563=0,D1566=0),0,D1566+D1563)</f>
        <v>0</v>
      </c>
      <c r="E1567" s="56">
        <f>VLOOKUP($F$54,таблица,42,0)</f>
        <v>0</v>
      </c>
      <c r="J1567" s="362" t="str">
        <f t="shared" si="171"/>
        <v>Пустая строка (убрать галочку)</v>
      </c>
    </row>
    <row r="1568" spans="1:10" hidden="1">
      <c r="A1568" s="13"/>
      <c r="B1568" s="13"/>
      <c r="C1568" s="13"/>
      <c r="D1568" s="14"/>
      <c r="J1568" s="362" t="str">
        <f>IF($F$54=0,"Пустая строка (убрать галочку)",1)</f>
        <v>Пустая строка (убрать галочку)</v>
      </c>
    </row>
    <row r="1569" spans="1:10" ht="47.25" hidden="1" customHeight="1">
      <c r="A1569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569" s="382"/>
      <c r="C1569" s="67"/>
      <c r="D1569" s="48" t="str">
        <f>'Анализ стоимости'!$I$101</f>
        <v>Шестопал О.Н.</v>
      </c>
      <c r="G1569" s="43" t="str">
        <f>A1569</f>
        <v>Специалист администрации Старонижестеблиевского сельского поселения Красноармейского района</v>
      </c>
      <c r="J1569" s="362" t="str">
        <f>IF($F$54=0,"Пустая строка (убрать галочку)",1)</f>
        <v>Пустая строка (убрать галочку)</v>
      </c>
    </row>
    <row r="1570" spans="1:10" hidden="1">
      <c r="A1570" s="49"/>
      <c r="B1570" s="382"/>
      <c r="C1570" s="382"/>
      <c r="D1570" s="50"/>
      <c r="J1570" s="362" t="str">
        <f>IF($F$54=0,"Пустая строка (убрать галочку)",1)</f>
        <v>Пустая строка (убрать галочку)</v>
      </c>
    </row>
    <row r="1571" spans="1:10" hidden="1">
      <c r="A1571" s="375"/>
      <c r="B1571" s="375"/>
      <c r="C1571" s="3"/>
      <c r="D1571" s="3"/>
      <c r="J1571" s="362" t="str">
        <f>IF($F$54=0,"Пустая строка (убрать галочку)",1)</f>
        <v>Пустая строка (убрать галочку)</v>
      </c>
    </row>
    <row r="1572" spans="1:10" hidden="1">
      <c r="A1572" s="385" t="s">
        <v>189</v>
      </c>
      <c r="B1572" s="385"/>
      <c r="C1572" s="385"/>
      <c r="D1572" s="385"/>
      <c r="G1572" s="37"/>
      <c r="H1572" s="37"/>
      <c r="J1572" s="362" t="str">
        <f t="shared" ref="J1572:J1589" si="172">IF($F$55=0,"Пустая строка (убрать галочку)",1)</f>
        <v>Пустая строка (убрать галочку)</v>
      </c>
    </row>
    <row r="1573" spans="1:10" ht="47.25" hidden="1" customHeight="1">
      <c r="A1573" s="376" t="str">
        <f>CONCATENATE("Наименование объекта: ",VLOOKUP($F$55,таблица,9,0))</f>
        <v xml:space="preserve">Наименование объекта: </v>
      </c>
      <c r="B1573" s="376"/>
      <c r="C1573" s="376"/>
      <c r="D1573" s="376"/>
      <c r="I1573" s="58" t="str">
        <f>A1573</f>
        <v xml:space="preserve">Наименование объекта: </v>
      </c>
      <c r="J1573" s="362" t="str">
        <f t="shared" si="172"/>
        <v>Пустая строка (убрать галочку)</v>
      </c>
    </row>
    <row r="1574" spans="1:10" hidden="1">
      <c r="A1574" s="30"/>
      <c r="B1574" s="25"/>
      <c r="C1574" s="25"/>
      <c r="D1574" s="25"/>
      <c r="J1574" s="362" t="str">
        <f t="shared" si="172"/>
        <v>Пустая строка (убрать галочку)</v>
      </c>
    </row>
    <row r="1575" spans="1:10" hidden="1">
      <c r="A1575" s="29" t="s">
        <v>111</v>
      </c>
      <c r="B1575" s="22"/>
      <c r="C1575" s="22"/>
      <c r="D1575" s="22"/>
      <c r="J1575" s="362" t="str">
        <f t="shared" si="172"/>
        <v>Пустая строка (убрать галочку)</v>
      </c>
    </row>
    <row r="1576" spans="1:10" hidden="1">
      <c r="A1576" s="383" t="s">
        <v>112</v>
      </c>
      <c r="B1576" s="383"/>
      <c r="C1576" s="383"/>
      <c r="D1576" s="383"/>
      <c r="J1576" s="362" t="str">
        <f t="shared" si="172"/>
        <v>Пустая строка (убрать галочку)</v>
      </c>
    </row>
    <row r="1577" spans="1:10" ht="47.25" hidden="1">
      <c r="A1577" s="68" t="s">
        <v>67</v>
      </c>
      <c r="B1577" s="68" t="s">
        <v>98</v>
      </c>
      <c r="C1577" s="377" t="str">
        <f>CONCATENATE("Стоимость  согласно сметной документации (руб.) в текущих ценах по состоянию на ",VLOOKUP($F$55,таблица,5,0)," г.")</f>
        <v>Стоимость  согласно сметной документации (руб.) в текущих ценах по состоянию на  г.</v>
      </c>
      <c r="D1577" s="378"/>
      <c r="H1577" s="44" t="str">
        <f>C1577</f>
        <v>Стоимость  согласно сметной документации (руб.) в текущих ценах по состоянию на  г.</v>
      </c>
      <c r="J1577" s="362" t="str">
        <f t="shared" si="172"/>
        <v>Пустая строка (убрать галочку)</v>
      </c>
    </row>
    <row r="1578" spans="1:10" hidden="1">
      <c r="A1578" s="33">
        <v>1</v>
      </c>
      <c r="B1578" s="32" t="s">
        <v>46</v>
      </c>
      <c r="C1578" s="379">
        <f>VLOOKUP($F$55,таблица,10,0)</f>
        <v>0</v>
      </c>
      <c r="D1578" s="380"/>
      <c r="J1578" s="362" t="str">
        <f t="shared" si="172"/>
        <v>Пустая строка (убрать галочку)</v>
      </c>
    </row>
    <row r="1579" spans="1:10" hidden="1">
      <c r="A1579" s="33">
        <v>2</v>
      </c>
      <c r="B1579" s="32" t="s">
        <v>41</v>
      </c>
      <c r="C1579" s="379">
        <f>VLOOKUP($F$55,таблица,11,0)</f>
        <v>0</v>
      </c>
      <c r="D1579" s="380"/>
      <c r="J1579" s="362" t="str">
        <f t="shared" si="172"/>
        <v>Пустая строка (убрать галочку)</v>
      </c>
    </row>
    <row r="1580" spans="1:10" ht="31.5" hidden="1">
      <c r="A1580" s="33">
        <v>3</v>
      </c>
      <c r="B1580" s="32" t="s">
        <v>3</v>
      </c>
      <c r="C1580" s="379">
        <f>VLOOKUP($F$55,таблица,12,0)</f>
        <v>0</v>
      </c>
      <c r="D1580" s="380"/>
      <c r="J1580" s="362" t="str">
        <f t="shared" si="172"/>
        <v>Пустая строка (убрать галочку)</v>
      </c>
    </row>
    <row r="1581" spans="1:10" hidden="1">
      <c r="A1581" s="33">
        <v>4</v>
      </c>
      <c r="B1581" s="32" t="s">
        <v>42</v>
      </c>
      <c r="C1581" s="379">
        <f>VLOOKUP($F$55,таблица,13,0)</f>
        <v>0</v>
      </c>
      <c r="D1581" s="380"/>
      <c r="J1581" s="362" t="str">
        <f t="shared" si="172"/>
        <v>Пустая строка (убрать галочку)</v>
      </c>
    </row>
    <row r="1582" spans="1:10" hidden="1">
      <c r="A1582" s="33">
        <v>5</v>
      </c>
      <c r="B1582" s="32" t="s">
        <v>5</v>
      </c>
      <c r="C1582" s="379">
        <f>VLOOKUP($F$55,таблица,14,0)</f>
        <v>0</v>
      </c>
      <c r="D1582" s="380"/>
      <c r="J1582" s="362" t="str">
        <f t="shared" si="172"/>
        <v>Пустая строка (убрать галочку)</v>
      </c>
    </row>
    <row r="1583" spans="1:10" hidden="1">
      <c r="A1583" s="33">
        <v>6</v>
      </c>
      <c r="B1583" s="32" t="s">
        <v>12</v>
      </c>
      <c r="C1583" s="379">
        <f>VLOOKUP($F$55,таблица,18,0)</f>
        <v>0</v>
      </c>
      <c r="D1583" s="380"/>
      <c r="J1583" s="362" t="str">
        <f t="shared" si="172"/>
        <v>Пустая строка (убрать галочку)</v>
      </c>
    </row>
    <row r="1584" spans="1:10" hidden="1">
      <c r="A1584" s="33">
        <v>7</v>
      </c>
      <c r="B1584" s="32" t="s">
        <v>88</v>
      </c>
      <c r="C1584" s="379">
        <f>VLOOKUP($F$55,таблица,19,0)+VLOOKUP($F$55,таблица,21,0)+VLOOKUP($F$55,таблица,22,0)+VLOOKUP($F$55,таблица,23,0)+VLOOKUP($F$55,таблица,24,0)+VLOOKUP($F$55,таблица,25,0)+VLOOKUP($F$55,таблица,26,0)</f>
        <v>0</v>
      </c>
      <c r="D1584" s="380"/>
      <c r="J1584" s="362" t="str">
        <f t="shared" si="172"/>
        <v>Пустая строка (убрать галочку)</v>
      </c>
    </row>
    <row r="1585" spans="1:10" hidden="1">
      <c r="A1585" s="33">
        <v>8</v>
      </c>
      <c r="B1585" s="32" t="s">
        <v>62</v>
      </c>
      <c r="C1585" s="379">
        <f>VLOOKUP($F$55,таблица,31,0)</f>
        <v>0</v>
      </c>
      <c r="D1585" s="380"/>
      <c r="J1585" s="362" t="str">
        <f t="shared" si="172"/>
        <v>Пустая строка (убрать галочку)</v>
      </c>
    </row>
    <row r="1586" spans="1:10" hidden="1">
      <c r="A1586" s="33">
        <v>9</v>
      </c>
      <c r="B1586" s="32" t="s">
        <v>127</v>
      </c>
      <c r="C1586" s="379">
        <f>SUM(C1578:D1585)</f>
        <v>0</v>
      </c>
      <c r="D1586" s="380"/>
      <c r="J1586" s="362" t="str">
        <f t="shared" si="172"/>
        <v>Пустая строка (убрать галочку)</v>
      </c>
    </row>
    <row r="1587" spans="1:10" hidden="1">
      <c r="A1587" s="384" t="s">
        <v>122</v>
      </c>
      <c r="B1587" s="384"/>
      <c r="C1587" s="384"/>
      <c r="D1587" s="384"/>
      <c r="J1587" s="362" t="str">
        <f t="shared" si="172"/>
        <v>Пустая строка (убрать галочку)</v>
      </c>
    </row>
    <row r="1588" spans="1:10" ht="31.5" hidden="1">
      <c r="A1588" s="35" t="s">
        <v>67</v>
      </c>
      <c r="B1588" s="68" t="s">
        <v>21</v>
      </c>
      <c r="C1588" s="68" t="s">
        <v>114</v>
      </c>
      <c r="D1588" s="68" t="s">
        <v>99</v>
      </c>
      <c r="J1588" s="362" t="str">
        <f t="shared" si="172"/>
        <v>Пустая строка (убрать галочку)</v>
      </c>
    </row>
    <row r="1589" spans="1:10" hidden="1">
      <c r="A1589" s="33">
        <v>10</v>
      </c>
      <c r="B1589" s="33" t="e">
        <f>VLOOKUP((VLOOKUP($F$55,таблица,8,0)),рем_содер,2,0)</f>
        <v>#N/A</v>
      </c>
      <c r="C1589" s="33"/>
      <c r="D1589" s="32"/>
      <c r="J1589" s="362" t="str">
        <f t="shared" si="172"/>
        <v>Пустая строка (убрать галочку)</v>
      </c>
    </row>
    <row r="1590" spans="1:10" hidden="1">
      <c r="A1590" s="33">
        <f>IF(D1590=0,0,A1589+1)</f>
        <v>0</v>
      </c>
      <c r="B1590" s="32" t="e">
        <f>CONCATENATE('Анализ стоимости'!$AW$1," г (",CHOOSE(VLOOKUP(F$55,таблица,43,0),"Январь","Февраль","Март","Апрель","Май","Июнь","Июль","Август","Сентябрь","Октябрь","Ноябрь","Декабрь")," - ",CHOOSE(VLOOKUP(F$55,таблица,44,0),"Январь","Февраль","Март","Апрель","Май","Июнь","Июль","Август","Сентябрь","Октябрь","Ноябрь","Декабрь"),")")</f>
        <v>#VALUE!</v>
      </c>
      <c r="C1590" s="33" t="s">
        <v>115</v>
      </c>
      <c r="D1590" s="55">
        <f>IF(D1592=0,0,VLOOKUP($F$55,таблица,49,0)*100+100)</f>
        <v>0</v>
      </c>
      <c r="J1590" s="362" t="str">
        <f>IF(D1590=0,"Пустая строка (убрать галочку)",1)</f>
        <v>Пустая строка (убрать галочку)</v>
      </c>
    </row>
    <row r="1591" spans="1:10" hidden="1">
      <c r="A1591" s="33">
        <f>IF(D1591=0,0,IF(D1590=0,A1589+1,A1590+1))</f>
        <v>0</v>
      </c>
      <c r="B1591" s="32" t="e">
        <f>CONCATENATE('Анализ стоимости'!$AX$1," г (",CHOOSE(VLOOKUP(F$55,таблица,45,0),"Январь","Февраль","Март","Апрель","Май","Июнь","Июль","Август","Сентябрь","Октябрь","Ноябрь","Декабрь")," - ",CHOOSE(VLOOKUP(F$55,таблица,46,0),"Январь","Февраль","Март","Апрель","Май","Июнь","Июль","Август","Сентябрь","Октябрь","Ноябрь","Декабрь"),")")</f>
        <v>#VALUE!</v>
      </c>
      <c r="C1591" s="33" t="s">
        <v>115</v>
      </c>
      <c r="D1591" s="55">
        <f>IF(D1593=0,0,VLOOKUP($F$55,таблица,50,0)*100+100)</f>
        <v>0</v>
      </c>
      <c r="J1591" s="362" t="str">
        <f>IF(D1591=0,"Пустая строка (убрать галочку)",1)</f>
        <v>Пустая строка (убрать галочку)</v>
      </c>
    </row>
    <row r="1592" spans="1:10" hidden="1">
      <c r="A1592" s="33">
        <f>IF(D1592=0,0,IF(D1591=0,A1590+1,A1591+1))</f>
        <v>0</v>
      </c>
      <c r="B1592" s="32" t="str">
        <f>"Рост стоимости "&amp;'Анализ стоимости'!$AW$1&amp;" г."</f>
        <v>Рост стоимости 2018 г.</v>
      </c>
      <c r="C1592" s="33" t="s">
        <v>116</v>
      </c>
      <c r="D1592" s="34">
        <f>VLOOKUP($F$55,таблица,38,0)</f>
        <v>0</v>
      </c>
      <c r="J1592" s="362" t="str">
        <f>IF(D1592=0,"Пустая строка (убрать галочку)",1)</f>
        <v>Пустая строка (убрать галочку)</v>
      </c>
    </row>
    <row r="1593" spans="1:10" hidden="1">
      <c r="A1593" s="33">
        <f>IF(D1593=0,0,IF(D1592=0,A1591+1,A1592+1))</f>
        <v>0</v>
      </c>
      <c r="B1593" s="32" t="str">
        <f>"Рост стоимости "&amp;'Анализ стоимости'!$AX$1&amp;" г."</f>
        <v>Рост стоимости 2019 г.</v>
      </c>
      <c r="C1593" s="33" t="s">
        <v>116</v>
      </c>
      <c r="D1593" s="34">
        <f>VLOOKUP($F$55,таблица,40,0)</f>
        <v>0</v>
      </c>
      <c r="J1593" s="362" t="str">
        <f>IF(D1593=0,"Пустая строка (убрать галочку)",1)</f>
        <v>Пустая строка (убрать галочку)</v>
      </c>
    </row>
    <row r="1594" spans="1:10" hidden="1">
      <c r="A1594" s="384" t="s">
        <v>117</v>
      </c>
      <c r="B1594" s="384"/>
      <c r="C1594" s="384"/>
      <c r="D1594" s="384"/>
      <c r="J1594" s="362" t="str">
        <f>IF($F$55=0,"Пустая строка (убрать галочку)",1)</f>
        <v>Пустая строка (убрать галочку)</v>
      </c>
    </row>
    <row r="1595" spans="1:10" ht="31.5" hidden="1">
      <c r="A1595" s="33">
        <f>IF(D1595=0,0,IF(D1593=0,IF(D1592=0,A1589+1,A1592+1),A1593+1))</f>
        <v>0</v>
      </c>
      <c r="B1595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595" s="33" t="s">
        <v>116</v>
      </c>
      <c r="D1595" s="34">
        <f>SUM(VLOOKUP($F$55,таблица,37,0),D1592)</f>
        <v>0</v>
      </c>
      <c r="E1595" s="7"/>
      <c r="J1595" s="362" t="str">
        <f t="shared" ref="J1595:J1601" si="173">IF(D1595=0,"Пустая строка (убрать галочку)",1)</f>
        <v>Пустая строка (убрать галочку)</v>
      </c>
    </row>
    <row r="1596" spans="1:10" hidden="1">
      <c r="A1596" s="33">
        <f>IF(D1596=0,0,A1595+1)</f>
        <v>0</v>
      </c>
      <c r="B1596" s="45" t="s">
        <v>119</v>
      </c>
      <c r="C1596" s="33" t="s">
        <v>116</v>
      </c>
      <c r="D1596" s="34">
        <f>VLOOKUP($F$55,таблица,39,0)</f>
        <v>0</v>
      </c>
      <c r="E1596" s="7"/>
      <c r="J1596" s="362" t="str">
        <f t="shared" si="173"/>
        <v>Пустая строка (убрать галочку)</v>
      </c>
    </row>
    <row r="1597" spans="1:10" hidden="1">
      <c r="A1597" s="33">
        <f>IF(D1597=0,0,A1596+1)</f>
        <v>0</v>
      </c>
      <c r="B1597" s="45" t="str">
        <f>"Всего с НДС на "&amp;'Анализ стоимости'!$AW$1&amp;" г."</f>
        <v>Всего с НДС на 2018 г.</v>
      </c>
      <c r="C1597" s="33" t="s">
        <v>116</v>
      </c>
      <c r="D1597" s="46">
        <f>SUM(D1595:D1596)</f>
        <v>0</v>
      </c>
      <c r="E1597" s="56">
        <f>VLOOKUP($F$55,таблица,51,0)</f>
        <v>0</v>
      </c>
      <c r="J1597" s="362" t="str">
        <f t="shared" si="173"/>
        <v>Пустая строка (убрать галочку)</v>
      </c>
    </row>
    <row r="1598" spans="1:10" ht="31.5" hidden="1">
      <c r="A1598" s="33">
        <f>IF(D1598=0,0,IF(D1597=0,IF(D1593=0,A1589+1,A1593+1),A1597+1))</f>
        <v>0</v>
      </c>
      <c r="B1598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598" s="33" t="s">
        <v>116</v>
      </c>
      <c r="D1598" s="34">
        <f>VLOOKUP($F$55,таблица,36,0)-VLOOKUP($F$55,таблица,37,0)+D1593</f>
        <v>0</v>
      </c>
      <c r="J1598" s="362" t="str">
        <f t="shared" si="173"/>
        <v>Пустая строка (убрать галочку)</v>
      </c>
    </row>
    <row r="1599" spans="1:10" hidden="1">
      <c r="A1599" s="33">
        <f>IF(D1599=0,0,A1598+1)</f>
        <v>0</v>
      </c>
      <c r="B1599" s="45" t="s">
        <v>119</v>
      </c>
      <c r="C1599" s="33" t="s">
        <v>116</v>
      </c>
      <c r="D1599" s="34">
        <f>VLOOKUP($F$55,таблица,41,0)</f>
        <v>0</v>
      </c>
      <c r="J1599" s="362" t="str">
        <f t="shared" si="173"/>
        <v>Пустая строка (убрать галочку)</v>
      </c>
    </row>
    <row r="1600" spans="1:10" hidden="1">
      <c r="A1600" s="33">
        <f>IF(D1600=0,0,A1599+1)</f>
        <v>0</v>
      </c>
      <c r="B1600" s="45" t="str">
        <f>"Всего с НДС на "&amp;'Анализ стоимости'!$AX$1&amp;" г."</f>
        <v>Всего с НДС на 2019 г.</v>
      </c>
      <c r="C1600" s="33" t="s">
        <v>116</v>
      </c>
      <c r="D1600" s="46">
        <f>SUM(D1598:D1599)</f>
        <v>0</v>
      </c>
      <c r="E1600" s="56">
        <f>VLOOKUP($F$55,таблица,52,0)</f>
        <v>0</v>
      </c>
      <c r="J1600" s="362" t="str">
        <f t="shared" si="173"/>
        <v>Пустая строка (убрать галочку)</v>
      </c>
    </row>
    <row r="1601" spans="1:10" hidden="1">
      <c r="A1601" s="33">
        <f>IF(D1601=0,0,A1600+1)</f>
        <v>0</v>
      </c>
      <c r="B1601" s="45" t="s">
        <v>118</v>
      </c>
      <c r="C1601" s="33" t="s">
        <v>116</v>
      </c>
      <c r="D1601" s="46">
        <f>IF(OR(D1597=0,D1600=0),0,D1600+D1597)</f>
        <v>0</v>
      </c>
      <c r="E1601" s="56">
        <f>VLOOKUP($F$55,таблица,42,0)</f>
        <v>0</v>
      </c>
      <c r="J1601" s="362" t="str">
        <f t="shared" si="173"/>
        <v>Пустая строка (убрать галочку)</v>
      </c>
    </row>
    <row r="1602" spans="1:10" hidden="1">
      <c r="A1602" s="13"/>
      <c r="B1602" s="13"/>
      <c r="C1602" s="13"/>
      <c r="D1602" s="14"/>
      <c r="J1602" s="362" t="str">
        <f>IF($F$55=0,"Пустая строка (убрать галочку)",1)</f>
        <v>Пустая строка (убрать галочку)</v>
      </c>
    </row>
    <row r="1603" spans="1:10" ht="47.25" hidden="1" customHeight="1">
      <c r="A1603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603" s="382"/>
      <c r="C1603" s="67"/>
      <c r="D1603" s="48" t="str">
        <f>'Анализ стоимости'!$I$101</f>
        <v>Шестопал О.Н.</v>
      </c>
      <c r="G1603" s="43" t="str">
        <f>A1603</f>
        <v>Специалист администрации Старонижестеблиевского сельского поселения Красноармейского района</v>
      </c>
      <c r="J1603" s="362" t="str">
        <f>IF($F$55=0,"Пустая строка (убрать галочку)",1)</f>
        <v>Пустая строка (убрать галочку)</v>
      </c>
    </row>
    <row r="1604" spans="1:10" hidden="1">
      <c r="A1604" s="49"/>
      <c r="B1604" s="49"/>
      <c r="C1604" s="49"/>
      <c r="D1604" s="50"/>
      <c r="J1604" s="362" t="str">
        <f>IF($F$55=0,"Пустая строка (убрать галочку)",1)</f>
        <v>Пустая строка (убрать галочку)</v>
      </c>
    </row>
    <row r="1605" spans="1:10" hidden="1">
      <c r="A1605" s="375"/>
      <c r="B1605" s="375"/>
      <c r="C1605" s="3"/>
      <c r="D1605" s="3"/>
      <c r="J1605" s="362" t="str">
        <f>IF($F$55=0,"Пустая строка (убрать галочку)",1)</f>
        <v>Пустая строка (убрать галочку)</v>
      </c>
    </row>
    <row r="1606" spans="1:10" hidden="1">
      <c r="A1606" s="385" t="s">
        <v>190</v>
      </c>
      <c r="B1606" s="385"/>
      <c r="C1606" s="385"/>
      <c r="D1606" s="385"/>
      <c r="G1606" s="37"/>
      <c r="H1606" s="37"/>
      <c r="J1606" s="362" t="str">
        <f t="shared" ref="J1606:J1623" si="174">IF($F$56=0,"Пустая строка (убрать галочку)",1)</f>
        <v>Пустая строка (убрать галочку)</v>
      </c>
    </row>
    <row r="1607" spans="1:10" ht="47.25" hidden="1" customHeight="1">
      <c r="A1607" s="376" t="str">
        <f>CONCATENATE("Наименование объекта: ",VLOOKUP($F$56,таблица,9,0))</f>
        <v xml:space="preserve">Наименование объекта: </v>
      </c>
      <c r="B1607" s="376"/>
      <c r="C1607" s="376"/>
      <c r="D1607" s="376"/>
      <c r="I1607" s="58" t="str">
        <f>A1607</f>
        <v xml:space="preserve">Наименование объекта: </v>
      </c>
      <c r="J1607" s="362" t="str">
        <f t="shared" si="174"/>
        <v>Пустая строка (убрать галочку)</v>
      </c>
    </row>
    <row r="1608" spans="1:10" hidden="1">
      <c r="A1608" s="30"/>
      <c r="B1608" s="25"/>
      <c r="C1608" s="25"/>
      <c r="D1608" s="25"/>
      <c r="J1608" s="362" t="str">
        <f t="shared" si="174"/>
        <v>Пустая строка (убрать галочку)</v>
      </c>
    </row>
    <row r="1609" spans="1:10" hidden="1">
      <c r="A1609" s="29" t="s">
        <v>111</v>
      </c>
      <c r="B1609" s="22"/>
      <c r="C1609" s="22"/>
      <c r="D1609" s="22"/>
      <c r="J1609" s="362" t="str">
        <f t="shared" si="174"/>
        <v>Пустая строка (убрать галочку)</v>
      </c>
    </row>
    <row r="1610" spans="1:10" hidden="1">
      <c r="A1610" s="383" t="s">
        <v>112</v>
      </c>
      <c r="B1610" s="383"/>
      <c r="C1610" s="383"/>
      <c r="D1610" s="383"/>
      <c r="J1610" s="362" t="str">
        <f t="shared" si="174"/>
        <v>Пустая строка (убрать галочку)</v>
      </c>
    </row>
    <row r="1611" spans="1:10" ht="47.25" hidden="1">
      <c r="A1611" s="68" t="s">
        <v>67</v>
      </c>
      <c r="B1611" s="68" t="s">
        <v>98</v>
      </c>
      <c r="C1611" s="377" t="str">
        <f>CONCATENATE("Стоимость  согласно сметной документации (руб.) в текущих ценах по состоянию на ",VLOOKUP($F$56,таблица,5,0)," г.")</f>
        <v>Стоимость  согласно сметной документации (руб.) в текущих ценах по состоянию на  г.</v>
      </c>
      <c r="D1611" s="378"/>
      <c r="H1611" s="44" t="str">
        <f>C1611</f>
        <v>Стоимость  согласно сметной документации (руб.) в текущих ценах по состоянию на  г.</v>
      </c>
      <c r="J1611" s="362" t="str">
        <f t="shared" si="174"/>
        <v>Пустая строка (убрать галочку)</v>
      </c>
    </row>
    <row r="1612" spans="1:10" hidden="1">
      <c r="A1612" s="33">
        <v>1</v>
      </c>
      <c r="B1612" s="32" t="s">
        <v>46</v>
      </c>
      <c r="C1612" s="379">
        <f>VLOOKUP($F$56,таблица,10,0)</f>
        <v>0</v>
      </c>
      <c r="D1612" s="380"/>
      <c r="J1612" s="362" t="str">
        <f t="shared" si="174"/>
        <v>Пустая строка (убрать галочку)</v>
      </c>
    </row>
    <row r="1613" spans="1:10" hidden="1">
      <c r="A1613" s="33">
        <v>2</v>
      </c>
      <c r="B1613" s="32" t="s">
        <v>41</v>
      </c>
      <c r="C1613" s="379">
        <f>VLOOKUP($F$56,таблица,11,0)</f>
        <v>0</v>
      </c>
      <c r="D1613" s="380"/>
      <c r="J1613" s="362" t="str">
        <f t="shared" si="174"/>
        <v>Пустая строка (убрать галочку)</v>
      </c>
    </row>
    <row r="1614" spans="1:10" ht="31.5" hidden="1">
      <c r="A1614" s="33">
        <v>3</v>
      </c>
      <c r="B1614" s="32" t="s">
        <v>3</v>
      </c>
      <c r="C1614" s="379">
        <f>VLOOKUP($F$56,таблица,12,0)</f>
        <v>0</v>
      </c>
      <c r="D1614" s="380"/>
      <c r="J1614" s="362" t="str">
        <f t="shared" si="174"/>
        <v>Пустая строка (убрать галочку)</v>
      </c>
    </row>
    <row r="1615" spans="1:10" hidden="1">
      <c r="A1615" s="33">
        <v>4</v>
      </c>
      <c r="B1615" s="32" t="s">
        <v>42</v>
      </c>
      <c r="C1615" s="379">
        <f>VLOOKUP($F$56,таблица,13,0)</f>
        <v>0</v>
      </c>
      <c r="D1615" s="380"/>
      <c r="J1615" s="362" t="str">
        <f t="shared" si="174"/>
        <v>Пустая строка (убрать галочку)</v>
      </c>
    </row>
    <row r="1616" spans="1:10" hidden="1">
      <c r="A1616" s="33">
        <v>5</v>
      </c>
      <c r="B1616" s="32" t="s">
        <v>5</v>
      </c>
      <c r="C1616" s="379">
        <f>VLOOKUP($F$56,таблица,14,0)</f>
        <v>0</v>
      </c>
      <c r="D1616" s="380"/>
      <c r="J1616" s="362" t="str">
        <f t="shared" si="174"/>
        <v>Пустая строка (убрать галочку)</v>
      </c>
    </row>
    <row r="1617" spans="1:10" hidden="1">
      <c r="A1617" s="33">
        <v>6</v>
      </c>
      <c r="B1617" s="32" t="s">
        <v>12</v>
      </c>
      <c r="C1617" s="379">
        <f>VLOOKUP($F$56,таблица,18,0)</f>
        <v>0</v>
      </c>
      <c r="D1617" s="380"/>
      <c r="J1617" s="362" t="str">
        <f t="shared" si="174"/>
        <v>Пустая строка (убрать галочку)</v>
      </c>
    </row>
    <row r="1618" spans="1:10" hidden="1">
      <c r="A1618" s="33">
        <v>7</v>
      </c>
      <c r="B1618" s="32" t="s">
        <v>88</v>
      </c>
      <c r="C1618" s="379">
        <f>VLOOKUP($F$56,таблица,19,0)+VLOOKUP($F$56,таблица,21,0)+VLOOKUP($F$56,таблица,22,0)+VLOOKUP($F$56,таблица,23,0)+VLOOKUP($F$56,таблица,24,0)+VLOOKUP($F$56,таблица,25,0)+VLOOKUP($F$56,таблица,26,0)</f>
        <v>0</v>
      </c>
      <c r="D1618" s="380"/>
      <c r="J1618" s="362" t="str">
        <f t="shared" si="174"/>
        <v>Пустая строка (убрать галочку)</v>
      </c>
    </row>
    <row r="1619" spans="1:10" hidden="1">
      <c r="A1619" s="33">
        <v>8</v>
      </c>
      <c r="B1619" s="32" t="s">
        <v>62</v>
      </c>
      <c r="C1619" s="379">
        <f>VLOOKUP($F$56,таблица,31,0)</f>
        <v>0</v>
      </c>
      <c r="D1619" s="380"/>
      <c r="J1619" s="362" t="str">
        <f t="shared" si="174"/>
        <v>Пустая строка (убрать галочку)</v>
      </c>
    </row>
    <row r="1620" spans="1:10" hidden="1">
      <c r="A1620" s="33">
        <v>9</v>
      </c>
      <c r="B1620" s="32" t="s">
        <v>127</v>
      </c>
      <c r="C1620" s="379">
        <f>SUM(C1612:D1619)</f>
        <v>0</v>
      </c>
      <c r="D1620" s="380"/>
      <c r="J1620" s="362" t="str">
        <f t="shared" si="174"/>
        <v>Пустая строка (убрать галочку)</v>
      </c>
    </row>
    <row r="1621" spans="1:10" hidden="1">
      <c r="A1621" s="384" t="s">
        <v>122</v>
      </c>
      <c r="B1621" s="384"/>
      <c r="C1621" s="384"/>
      <c r="D1621" s="384"/>
      <c r="J1621" s="362" t="str">
        <f t="shared" si="174"/>
        <v>Пустая строка (убрать галочку)</v>
      </c>
    </row>
    <row r="1622" spans="1:10" ht="31.5" hidden="1">
      <c r="A1622" s="35" t="s">
        <v>67</v>
      </c>
      <c r="B1622" s="68" t="s">
        <v>21</v>
      </c>
      <c r="C1622" s="68" t="s">
        <v>114</v>
      </c>
      <c r="D1622" s="68" t="s">
        <v>99</v>
      </c>
      <c r="J1622" s="362" t="str">
        <f t="shared" si="174"/>
        <v>Пустая строка (убрать галочку)</v>
      </c>
    </row>
    <row r="1623" spans="1:10" hidden="1">
      <c r="A1623" s="33">
        <v>10</v>
      </c>
      <c r="B1623" s="33" t="e">
        <f>VLOOKUP((VLOOKUP($F$56,таблица,8,0)),рем_содер,2,0)</f>
        <v>#N/A</v>
      </c>
      <c r="C1623" s="33"/>
      <c r="D1623" s="32"/>
      <c r="J1623" s="362" t="str">
        <f t="shared" si="174"/>
        <v>Пустая строка (убрать галочку)</v>
      </c>
    </row>
    <row r="1624" spans="1:10" hidden="1">
      <c r="A1624" s="33">
        <f>IF(D1624=0,0,A1623+1)</f>
        <v>0</v>
      </c>
      <c r="B1624" s="32" t="e">
        <f>CONCATENATE('Анализ стоимости'!$AW$1," г (",CHOOSE(VLOOKUP(F$56,таблица,43,0),"Январь","Февраль","Март","Апрель","Май","Июнь","Июль","Август","Сентябрь","Октябрь","Ноябрь","Декабрь")," - ",CHOOSE(VLOOKUP(F$56,таблица,44,0),"Январь","Февраль","Март","Апрель","Май","Июнь","Июль","Август","Сентябрь","Октябрь","Ноябрь","Декабрь"),")")</f>
        <v>#VALUE!</v>
      </c>
      <c r="C1624" s="33" t="s">
        <v>115</v>
      </c>
      <c r="D1624" s="55">
        <f>IF(D1626=0,0,VLOOKUP($F$56,таблица,49,0)*100+100)</f>
        <v>0</v>
      </c>
      <c r="J1624" s="362" t="str">
        <f>IF(D1624=0,"Пустая строка (убрать галочку)",1)</f>
        <v>Пустая строка (убрать галочку)</v>
      </c>
    </row>
    <row r="1625" spans="1:10" hidden="1">
      <c r="A1625" s="33">
        <f>IF(D1625=0,0,IF(D1624=0,A1623+1,A1624+1))</f>
        <v>0</v>
      </c>
      <c r="B1625" s="32" t="e">
        <f>CONCATENATE('Анализ стоимости'!$AX$1," г (",CHOOSE(VLOOKUP(F$56,таблица,45,0),"Январь","Февраль","Март","Апрель","Май","Июнь","Июль","Август","Сентябрь","Октябрь","Ноябрь","Декабрь")," - ",CHOOSE(VLOOKUP(F$56,таблица,46,0),"Январь","Февраль","Март","Апрель","Май","Июнь","Июль","Август","Сентябрь","Октябрь","Ноябрь","Декабрь"),")")</f>
        <v>#VALUE!</v>
      </c>
      <c r="C1625" s="33" t="s">
        <v>115</v>
      </c>
      <c r="D1625" s="55">
        <f>IF(D1627=0,0,VLOOKUP($F$56,таблица,50,0)*100+100)</f>
        <v>0</v>
      </c>
      <c r="J1625" s="362" t="str">
        <f>IF(D1625=0,"Пустая строка (убрать галочку)",1)</f>
        <v>Пустая строка (убрать галочку)</v>
      </c>
    </row>
    <row r="1626" spans="1:10" hidden="1">
      <c r="A1626" s="33">
        <f>IF(D1626=0,0,IF(D1625=0,A1624+1,A1625+1))</f>
        <v>0</v>
      </c>
      <c r="B1626" s="32" t="str">
        <f>"Рост стоимости "&amp;'Анализ стоимости'!$AW$1&amp;" г."</f>
        <v>Рост стоимости 2018 г.</v>
      </c>
      <c r="C1626" s="33" t="s">
        <v>116</v>
      </c>
      <c r="D1626" s="34">
        <f>VLOOKUP($F$56,таблица,38,0)</f>
        <v>0</v>
      </c>
      <c r="J1626" s="362" t="str">
        <f>IF(D1626=0,"Пустая строка (убрать галочку)",1)</f>
        <v>Пустая строка (убрать галочку)</v>
      </c>
    </row>
    <row r="1627" spans="1:10" hidden="1">
      <c r="A1627" s="33">
        <f>IF(D1627=0,0,IF(D1626=0,A1625+1,A1626+1))</f>
        <v>0</v>
      </c>
      <c r="B1627" s="32" t="str">
        <f>"Рост стоимости "&amp;'Анализ стоимости'!$AX$1&amp;" г."</f>
        <v>Рост стоимости 2019 г.</v>
      </c>
      <c r="C1627" s="33" t="s">
        <v>116</v>
      </c>
      <c r="D1627" s="34">
        <f>VLOOKUP($F$56,таблица,40,0)</f>
        <v>0</v>
      </c>
      <c r="J1627" s="362" t="str">
        <f>IF(D1627=0,"Пустая строка (убрать галочку)",1)</f>
        <v>Пустая строка (убрать галочку)</v>
      </c>
    </row>
    <row r="1628" spans="1:10" hidden="1">
      <c r="A1628" s="384" t="s">
        <v>117</v>
      </c>
      <c r="B1628" s="384"/>
      <c r="C1628" s="384"/>
      <c r="D1628" s="384"/>
      <c r="J1628" s="362" t="str">
        <f>IF($F$56=0,"Пустая строка (убрать галочку)",1)</f>
        <v>Пустая строка (убрать галочку)</v>
      </c>
    </row>
    <row r="1629" spans="1:10" ht="31.5" hidden="1">
      <c r="A1629" s="33">
        <f>IF(D1629=0,0,IF(D1627=0,IF(D1626=0,A1623+1,A1626+1),A1627+1))</f>
        <v>0</v>
      </c>
      <c r="B1629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629" s="33" t="s">
        <v>116</v>
      </c>
      <c r="D1629" s="34">
        <f>SUM(VLOOKUP($F$56,таблица,37,0),D1626)</f>
        <v>0</v>
      </c>
      <c r="E1629" s="7"/>
      <c r="J1629" s="362" t="str">
        <f t="shared" ref="J1629:J1635" si="175">IF(D1629=0,"Пустая строка (убрать галочку)",1)</f>
        <v>Пустая строка (убрать галочку)</v>
      </c>
    </row>
    <row r="1630" spans="1:10" hidden="1">
      <c r="A1630" s="33">
        <f>IF(D1630=0,0,A1629+1)</f>
        <v>0</v>
      </c>
      <c r="B1630" s="45" t="s">
        <v>119</v>
      </c>
      <c r="C1630" s="33" t="s">
        <v>116</v>
      </c>
      <c r="D1630" s="34">
        <f>VLOOKUP($F$56,таблица,39,0)</f>
        <v>0</v>
      </c>
      <c r="E1630" s="7"/>
      <c r="J1630" s="362" t="str">
        <f t="shared" si="175"/>
        <v>Пустая строка (убрать галочку)</v>
      </c>
    </row>
    <row r="1631" spans="1:10" hidden="1">
      <c r="A1631" s="33">
        <f>IF(D1631=0,0,A1630+1)</f>
        <v>0</v>
      </c>
      <c r="B1631" s="45" t="str">
        <f>"Всего с НДС на "&amp;'Анализ стоимости'!$AW$1&amp;" г."</f>
        <v>Всего с НДС на 2018 г.</v>
      </c>
      <c r="C1631" s="33" t="s">
        <v>116</v>
      </c>
      <c r="D1631" s="46">
        <f>SUM(D1629:D1630)</f>
        <v>0</v>
      </c>
      <c r="E1631" s="56">
        <f>VLOOKUP($F$56,таблица,51,0)</f>
        <v>0</v>
      </c>
      <c r="J1631" s="362" t="str">
        <f t="shared" si="175"/>
        <v>Пустая строка (убрать галочку)</v>
      </c>
    </row>
    <row r="1632" spans="1:10" ht="31.5" hidden="1">
      <c r="A1632" s="33">
        <f>IF(D1632=0,0,IF(D1631=0,IF(D1627=0,A1623+1,A1627+1),A1631+1))</f>
        <v>0</v>
      </c>
      <c r="B1632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632" s="33" t="s">
        <v>116</v>
      </c>
      <c r="D1632" s="34">
        <f>VLOOKUP($F$56,таблица,36,0)-VLOOKUP($F$56,таблица,37,0)+D1627</f>
        <v>0</v>
      </c>
      <c r="J1632" s="362" t="str">
        <f t="shared" si="175"/>
        <v>Пустая строка (убрать галочку)</v>
      </c>
    </row>
    <row r="1633" spans="1:10" hidden="1">
      <c r="A1633" s="33">
        <f>IF(D1633=0,0,A1632+1)</f>
        <v>0</v>
      </c>
      <c r="B1633" s="45" t="s">
        <v>119</v>
      </c>
      <c r="C1633" s="33" t="s">
        <v>116</v>
      </c>
      <c r="D1633" s="34">
        <f>VLOOKUP($F$56,таблица,41,0)</f>
        <v>0</v>
      </c>
      <c r="J1633" s="362" t="str">
        <f t="shared" si="175"/>
        <v>Пустая строка (убрать галочку)</v>
      </c>
    </row>
    <row r="1634" spans="1:10" hidden="1">
      <c r="A1634" s="33">
        <f>IF(D1634=0,0,A1633+1)</f>
        <v>0</v>
      </c>
      <c r="B1634" s="45" t="str">
        <f>"Всего с НДС на "&amp;'Анализ стоимости'!$AX$1&amp;" г."</f>
        <v>Всего с НДС на 2019 г.</v>
      </c>
      <c r="C1634" s="33" t="s">
        <v>116</v>
      </c>
      <c r="D1634" s="46">
        <f>SUM(D1632:D1633)</f>
        <v>0</v>
      </c>
      <c r="E1634" s="56">
        <f>VLOOKUP($F$56,таблица,52,0)</f>
        <v>0</v>
      </c>
      <c r="J1634" s="362" t="str">
        <f t="shared" si="175"/>
        <v>Пустая строка (убрать галочку)</v>
      </c>
    </row>
    <row r="1635" spans="1:10" hidden="1">
      <c r="A1635" s="33">
        <f>IF(D1635=0,0,A1634+1)</f>
        <v>0</v>
      </c>
      <c r="B1635" s="45" t="s">
        <v>118</v>
      </c>
      <c r="C1635" s="33" t="s">
        <v>116</v>
      </c>
      <c r="D1635" s="46">
        <f>IF(OR(D1631=0,D1634=0),0,D1634+D1631)</f>
        <v>0</v>
      </c>
      <c r="E1635" s="56">
        <f>VLOOKUP($F$56,таблица,42,0)</f>
        <v>0</v>
      </c>
      <c r="J1635" s="362" t="str">
        <f t="shared" si="175"/>
        <v>Пустая строка (убрать галочку)</v>
      </c>
    </row>
    <row r="1636" spans="1:10" hidden="1">
      <c r="A1636" s="13"/>
      <c r="B1636" s="13"/>
      <c r="C1636" s="13"/>
      <c r="D1636" s="14"/>
      <c r="J1636" s="362" t="str">
        <f>IF($F$56=0,"Пустая строка (убрать галочку)",1)</f>
        <v>Пустая строка (убрать галочку)</v>
      </c>
    </row>
    <row r="1637" spans="1:10" ht="47.25" hidden="1" customHeight="1">
      <c r="A1637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637" s="382"/>
      <c r="C1637" s="67"/>
      <c r="D1637" s="48" t="str">
        <f>'Анализ стоимости'!$I$101</f>
        <v>Шестопал О.Н.</v>
      </c>
      <c r="G1637" s="43" t="str">
        <f>A1637</f>
        <v>Специалист администрации Старонижестеблиевского сельского поселения Красноармейского района</v>
      </c>
      <c r="J1637" s="362" t="str">
        <f>IF($F$56=0,"Пустая строка (убрать галочку)",1)</f>
        <v>Пустая строка (убрать галочку)</v>
      </c>
    </row>
    <row r="1638" spans="1:10" hidden="1">
      <c r="A1638" s="49"/>
      <c r="B1638" s="49"/>
      <c r="C1638" s="49"/>
      <c r="D1638" s="50"/>
      <c r="J1638" s="362" t="str">
        <f>IF($F$56=0,"Пустая строка (убрать галочку)",1)</f>
        <v>Пустая строка (убрать галочку)</v>
      </c>
    </row>
    <row r="1639" spans="1:10" hidden="1">
      <c r="A1639" s="375"/>
      <c r="B1639" s="375"/>
      <c r="C1639" s="3"/>
      <c r="D1639" s="3"/>
      <c r="J1639" s="362" t="str">
        <f>IF($F$56=0,"Пустая строка (убрать галочку)",1)</f>
        <v>Пустая строка (убрать галочку)</v>
      </c>
    </row>
    <row r="1640" spans="1:10" hidden="1">
      <c r="A1640" s="385" t="s">
        <v>191</v>
      </c>
      <c r="B1640" s="385"/>
      <c r="C1640" s="385"/>
      <c r="D1640" s="385"/>
      <c r="G1640" s="37"/>
      <c r="H1640" s="37"/>
      <c r="J1640" s="362" t="str">
        <f t="shared" ref="J1640:J1657" si="176">IF($F$57=0,"Пустая строка (убрать галочку)",1)</f>
        <v>Пустая строка (убрать галочку)</v>
      </c>
    </row>
    <row r="1641" spans="1:10" ht="47.25" hidden="1" customHeight="1">
      <c r="A1641" s="376" t="str">
        <f>CONCATENATE("Наименование объекта: ",VLOOKUP($F$57,таблица,9,0))</f>
        <v xml:space="preserve">Наименование объекта: </v>
      </c>
      <c r="B1641" s="376"/>
      <c r="C1641" s="376"/>
      <c r="D1641" s="376"/>
      <c r="I1641" s="58" t="str">
        <f>A1641</f>
        <v xml:space="preserve">Наименование объекта: </v>
      </c>
      <c r="J1641" s="362" t="str">
        <f t="shared" si="176"/>
        <v>Пустая строка (убрать галочку)</v>
      </c>
    </row>
    <row r="1642" spans="1:10" hidden="1">
      <c r="A1642" s="30"/>
      <c r="B1642" s="25"/>
      <c r="C1642" s="25"/>
      <c r="D1642" s="25"/>
      <c r="J1642" s="362" t="str">
        <f t="shared" si="176"/>
        <v>Пустая строка (убрать галочку)</v>
      </c>
    </row>
    <row r="1643" spans="1:10" hidden="1">
      <c r="A1643" s="29" t="s">
        <v>111</v>
      </c>
      <c r="B1643" s="22"/>
      <c r="C1643" s="22"/>
      <c r="D1643" s="22"/>
      <c r="J1643" s="362" t="str">
        <f t="shared" si="176"/>
        <v>Пустая строка (убрать галочку)</v>
      </c>
    </row>
    <row r="1644" spans="1:10" hidden="1">
      <c r="A1644" s="383" t="s">
        <v>112</v>
      </c>
      <c r="B1644" s="383"/>
      <c r="C1644" s="383"/>
      <c r="D1644" s="383"/>
      <c r="J1644" s="362" t="str">
        <f t="shared" si="176"/>
        <v>Пустая строка (убрать галочку)</v>
      </c>
    </row>
    <row r="1645" spans="1:10" ht="47.25" hidden="1">
      <c r="A1645" s="68" t="s">
        <v>67</v>
      </c>
      <c r="B1645" s="68" t="s">
        <v>98</v>
      </c>
      <c r="C1645" s="377" t="str">
        <f>CONCATENATE("Стоимость  согласно сметной документации (руб.) в текущих ценах по состоянию на ",VLOOKUP($F$57,таблица,5,0)," г.")</f>
        <v>Стоимость  согласно сметной документации (руб.) в текущих ценах по состоянию на  г.</v>
      </c>
      <c r="D1645" s="378"/>
      <c r="H1645" s="44" t="str">
        <f>C1645</f>
        <v>Стоимость  согласно сметной документации (руб.) в текущих ценах по состоянию на  г.</v>
      </c>
      <c r="J1645" s="362" t="str">
        <f t="shared" si="176"/>
        <v>Пустая строка (убрать галочку)</v>
      </c>
    </row>
    <row r="1646" spans="1:10" hidden="1">
      <c r="A1646" s="33">
        <v>1</v>
      </c>
      <c r="B1646" s="32" t="s">
        <v>46</v>
      </c>
      <c r="C1646" s="379">
        <f>VLOOKUP($F$57,таблица,10,0)</f>
        <v>0</v>
      </c>
      <c r="D1646" s="380"/>
      <c r="J1646" s="362" t="str">
        <f t="shared" si="176"/>
        <v>Пустая строка (убрать галочку)</v>
      </c>
    </row>
    <row r="1647" spans="1:10" hidden="1">
      <c r="A1647" s="33">
        <v>2</v>
      </c>
      <c r="B1647" s="32" t="s">
        <v>41</v>
      </c>
      <c r="C1647" s="379">
        <f>VLOOKUP($F$57,таблица,11,0)</f>
        <v>0</v>
      </c>
      <c r="D1647" s="380"/>
      <c r="J1647" s="362" t="str">
        <f t="shared" si="176"/>
        <v>Пустая строка (убрать галочку)</v>
      </c>
    </row>
    <row r="1648" spans="1:10" ht="31.5" hidden="1">
      <c r="A1648" s="33">
        <v>3</v>
      </c>
      <c r="B1648" s="32" t="s">
        <v>3</v>
      </c>
      <c r="C1648" s="379">
        <f>VLOOKUP($F$57,таблица,12,0)</f>
        <v>0</v>
      </c>
      <c r="D1648" s="380"/>
      <c r="J1648" s="362" t="str">
        <f t="shared" si="176"/>
        <v>Пустая строка (убрать галочку)</v>
      </c>
    </row>
    <row r="1649" spans="1:10" hidden="1">
      <c r="A1649" s="33">
        <v>4</v>
      </c>
      <c r="B1649" s="32" t="s">
        <v>42</v>
      </c>
      <c r="C1649" s="379">
        <f>VLOOKUP($F$57,таблица,13,0)</f>
        <v>0</v>
      </c>
      <c r="D1649" s="380"/>
      <c r="J1649" s="362" t="str">
        <f t="shared" si="176"/>
        <v>Пустая строка (убрать галочку)</v>
      </c>
    </row>
    <row r="1650" spans="1:10" hidden="1">
      <c r="A1650" s="33">
        <v>5</v>
      </c>
      <c r="B1650" s="32" t="s">
        <v>5</v>
      </c>
      <c r="C1650" s="379">
        <f>VLOOKUP($F$57,таблица,14,0)</f>
        <v>0</v>
      </c>
      <c r="D1650" s="380"/>
      <c r="J1650" s="362" t="str">
        <f t="shared" si="176"/>
        <v>Пустая строка (убрать галочку)</v>
      </c>
    </row>
    <row r="1651" spans="1:10" hidden="1">
      <c r="A1651" s="33">
        <v>6</v>
      </c>
      <c r="B1651" s="32" t="s">
        <v>12</v>
      </c>
      <c r="C1651" s="379">
        <f>VLOOKUP($F$57,таблица,18,0)</f>
        <v>0</v>
      </c>
      <c r="D1651" s="380"/>
      <c r="J1651" s="362" t="str">
        <f t="shared" si="176"/>
        <v>Пустая строка (убрать галочку)</v>
      </c>
    </row>
    <row r="1652" spans="1:10" hidden="1">
      <c r="A1652" s="33">
        <v>7</v>
      </c>
      <c r="B1652" s="32" t="s">
        <v>88</v>
      </c>
      <c r="C1652" s="379">
        <f>VLOOKUP($F$57,таблица,19,0)+VLOOKUP($F$57,таблица,21,0)+VLOOKUP($F$57,таблица,22,0)+VLOOKUP($F$57,таблица,23,0)+VLOOKUP($F$57,таблица,24,0)+VLOOKUP($F$57,таблица,25,0)+VLOOKUP($F$57,таблица,26,0)</f>
        <v>0</v>
      </c>
      <c r="D1652" s="380"/>
      <c r="J1652" s="362" t="str">
        <f t="shared" si="176"/>
        <v>Пустая строка (убрать галочку)</v>
      </c>
    </row>
    <row r="1653" spans="1:10" hidden="1">
      <c r="A1653" s="33">
        <v>8</v>
      </c>
      <c r="B1653" s="32" t="s">
        <v>62</v>
      </c>
      <c r="C1653" s="379">
        <f>VLOOKUP($F$57,таблица,31,0)</f>
        <v>0</v>
      </c>
      <c r="D1653" s="380"/>
      <c r="J1653" s="362" t="str">
        <f t="shared" si="176"/>
        <v>Пустая строка (убрать галочку)</v>
      </c>
    </row>
    <row r="1654" spans="1:10" hidden="1">
      <c r="A1654" s="33">
        <v>9</v>
      </c>
      <c r="B1654" s="32" t="s">
        <v>127</v>
      </c>
      <c r="C1654" s="379">
        <f>SUM(C1646:D1653)</f>
        <v>0</v>
      </c>
      <c r="D1654" s="380"/>
      <c r="J1654" s="362" t="str">
        <f t="shared" si="176"/>
        <v>Пустая строка (убрать галочку)</v>
      </c>
    </row>
    <row r="1655" spans="1:10" hidden="1">
      <c r="A1655" s="384" t="s">
        <v>122</v>
      </c>
      <c r="B1655" s="384"/>
      <c r="C1655" s="384"/>
      <c r="D1655" s="384"/>
      <c r="J1655" s="362" t="str">
        <f t="shared" si="176"/>
        <v>Пустая строка (убрать галочку)</v>
      </c>
    </row>
    <row r="1656" spans="1:10" ht="31.5" hidden="1">
      <c r="A1656" s="35" t="s">
        <v>67</v>
      </c>
      <c r="B1656" s="68" t="s">
        <v>21</v>
      </c>
      <c r="C1656" s="68" t="s">
        <v>114</v>
      </c>
      <c r="D1656" s="68" t="s">
        <v>99</v>
      </c>
      <c r="J1656" s="362" t="str">
        <f t="shared" si="176"/>
        <v>Пустая строка (убрать галочку)</v>
      </c>
    </row>
    <row r="1657" spans="1:10" hidden="1">
      <c r="A1657" s="33">
        <v>10</v>
      </c>
      <c r="B1657" s="33" t="e">
        <f>VLOOKUP((VLOOKUP($F$57,таблица,8,0)),рем_содер,2,0)</f>
        <v>#N/A</v>
      </c>
      <c r="C1657" s="33"/>
      <c r="D1657" s="32"/>
      <c r="J1657" s="362" t="str">
        <f t="shared" si="176"/>
        <v>Пустая строка (убрать галочку)</v>
      </c>
    </row>
    <row r="1658" spans="1:10" hidden="1">
      <c r="A1658" s="33">
        <f>IF(D1658=0,0,A1657+1)</f>
        <v>0</v>
      </c>
      <c r="B1658" s="32" t="e">
        <f>CONCATENATE('Анализ стоимости'!$AW$1," г (",CHOOSE(VLOOKUP(F$57,таблица,43,0),"Январь","Февраль","Март","Апрель","Май","Июнь","Июль","Август","Сентябрь","Октябрь","Ноябрь","Декабрь")," - ",CHOOSE(VLOOKUP(F$57,таблица,44,0),"Январь","Февраль","Март","Апрель","Май","Июнь","Июль","Август","Сентябрь","Октябрь","Ноябрь","Декабрь"),")")</f>
        <v>#VALUE!</v>
      </c>
      <c r="C1658" s="33" t="s">
        <v>115</v>
      </c>
      <c r="D1658" s="55">
        <f>IF(D1660=0,0,VLOOKUP($F$57,таблица,49,0)*100+100)</f>
        <v>0</v>
      </c>
      <c r="J1658" s="362" t="str">
        <f>IF(D1658=0,"Пустая строка (убрать галочку)",1)</f>
        <v>Пустая строка (убрать галочку)</v>
      </c>
    </row>
    <row r="1659" spans="1:10" hidden="1">
      <c r="A1659" s="33">
        <f>IF(D1659=0,0,IF(D1658=0,A1657+1,A1658+1))</f>
        <v>0</v>
      </c>
      <c r="B1659" s="32" t="e">
        <f>CONCATENATE('Анализ стоимости'!$AX$1," г (",CHOOSE(VLOOKUP(F$57,таблица,45,0),"Январь","Февраль","Март","Апрель","Май","Июнь","Июль","Август","Сентябрь","Октябрь","Ноябрь","Декабрь")," - ",CHOOSE(VLOOKUP(F$57,таблица,46,0),"Январь","Февраль","Март","Апрель","Май","Июнь","Июль","Август","Сентябрь","Октябрь","Ноябрь","Декабрь"),")")</f>
        <v>#VALUE!</v>
      </c>
      <c r="C1659" s="33" t="s">
        <v>115</v>
      </c>
      <c r="D1659" s="55">
        <f>IF(D1661=0,0,VLOOKUP($F$57,таблица,50,0)*100+100)</f>
        <v>0</v>
      </c>
      <c r="J1659" s="362" t="str">
        <f>IF(D1659=0,"Пустая строка (убрать галочку)",1)</f>
        <v>Пустая строка (убрать галочку)</v>
      </c>
    </row>
    <row r="1660" spans="1:10" hidden="1">
      <c r="A1660" s="33">
        <f>IF(D1660=0,0,IF(D1659=0,A1658+1,A1659+1))</f>
        <v>0</v>
      </c>
      <c r="B1660" s="32" t="str">
        <f>"Рост стоимости "&amp;'Анализ стоимости'!$AW$1&amp;" г."</f>
        <v>Рост стоимости 2018 г.</v>
      </c>
      <c r="C1660" s="33" t="s">
        <v>116</v>
      </c>
      <c r="D1660" s="34">
        <f>VLOOKUP($F$57,таблица,38,0)</f>
        <v>0</v>
      </c>
      <c r="J1660" s="362" t="str">
        <f>IF(D1660=0,"Пустая строка (убрать галочку)",1)</f>
        <v>Пустая строка (убрать галочку)</v>
      </c>
    </row>
    <row r="1661" spans="1:10" hidden="1">
      <c r="A1661" s="33">
        <f>IF(D1661=0,0,IF(D1660=0,A1659+1,A1660+1))</f>
        <v>0</v>
      </c>
      <c r="B1661" s="32" t="str">
        <f>"Рост стоимости "&amp;'Анализ стоимости'!$AX$1&amp;" г."</f>
        <v>Рост стоимости 2019 г.</v>
      </c>
      <c r="C1661" s="33" t="s">
        <v>116</v>
      </c>
      <c r="D1661" s="34">
        <f>VLOOKUP($F$57,таблица,40,0)</f>
        <v>0</v>
      </c>
      <c r="J1661" s="362" t="str">
        <f>IF(D1661=0,"Пустая строка (убрать галочку)",1)</f>
        <v>Пустая строка (убрать галочку)</v>
      </c>
    </row>
    <row r="1662" spans="1:10" hidden="1">
      <c r="A1662" s="384" t="s">
        <v>117</v>
      </c>
      <c r="B1662" s="384"/>
      <c r="C1662" s="384"/>
      <c r="D1662" s="384"/>
      <c r="J1662" s="362" t="str">
        <f>IF($F$57=0,"Пустая строка (убрать галочку)",1)</f>
        <v>Пустая строка (убрать галочку)</v>
      </c>
    </row>
    <row r="1663" spans="1:10" ht="31.5" hidden="1">
      <c r="A1663" s="33">
        <f>IF(D1663=0,0,IF(D1661=0,IF(D1660=0,A1657+1,A1660+1),A1661+1))</f>
        <v>0</v>
      </c>
      <c r="B1663" s="45" t="str">
        <f>"Итого стоимость работ с учетом срока производства работ на "&amp;'Анализ стоимости'!$AW$1&amp;" г."</f>
        <v>Итого стоимость работ с учетом срока производства работ на 2018 г.</v>
      </c>
      <c r="C1663" s="33" t="s">
        <v>116</v>
      </c>
      <c r="D1663" s="34">
        <f>SUM(VLOOKUP($F$57,таблица,37,0),D1660)</f>
        <v>0</v>
      </c>
      <c r="E1663" s="7"/>
      <c r="J1663" s="362" t="str">
        <f t="shared" ref="J1663:J1669" si="177">IF(D1663=0,"Пустая строка (убрать галочку)",1)</f>
        <v>Пустая строка (убрать галочку)</v>
      </c>
    </row>
    <row r="1664" spans="1:10" hidden="1">
      <c r="A1664" s="33">
        <f>IF(D1664=0,0,A1663+1)</f>
        <v>0</v>
      </c>
      <c r="B1664" s="45" t="s">
        <v>119</v>
      </c>
      <c r="C1664" s="33" t="s">
        <v>116</v>
      </c>
      <c r="D1664" s="34">
        <f>VLOOKUP($F$57,таблица,39,0)</f>
        <v>0</v>
      </c>
      <c r="E1664" s="7"/>
      <c r="J1664" s="362" t="str">
        <f t="shared" si="177"/>
        <v>Пустая строка (убрать галочку)</v>
      </c>
    </row>
    <row r="1665" spans="1:10" hidden="1">
      <c r="A1665" s="33">
        <f>IF(D1665=0,0,A1664+1)</f>
        <v>0</v>
      </c>
      <c r="B1665" s="45" t="str">
        <f>"Всего с НДС на "&amp;'Анализ стоимости'!$AW$1&amp;" г."</f>
        <v>Всего с НДС на 2018 г.</v>
      </c>
      <c r="C1665" s="33" t="s">
        <v>116</v>
      </c>
      <c r="D1665" s="46">
        <f>SUM(D1663:D1664)</f>
        <v>0</v>
      </c>
      <c r="E1665" s="56">
        <f>VLOOKUP($F$57,таблица,51,0)</f>
        <v>0</v>
      </c>
      <c r="J1665" s="362" t="str">
        <f t="shared" si="177"/>
        <v>Пустая строка (убрать галочку)</v>
      </c>
    </row>
    <row r="1666" spans="1:10" ht="31.5" hidden="1">
      <c r="A1666" s="33">
        <f>IF(D1666=0,0,IF(D1665=0,IF(D1661=0,A1657+1,A1661+1),A1665+1))</f>
        <v>0</v>
      </c>
      <c r="B1666" s="45" t="str">
        <f>"Итого стоимость работ с учетом срока производства работ на "&amp;'Анализ стоимости'!$AX$1&amp;" г."</f>
        <v>Итого стоимость работ с учетом срока производства работ на 2019 г.</v>
      </c>
      <c r="C1666" s="33" t="s">
        <v>116</v>
      </c>
      <c r="D1666" s="34">
        <f>VLOOKUP($F$57,таблица,36,0)-VLOOKUP($F$57,таблица,37,0)+D1661</f>
        <v>0</v>
      </c>
      <c r="J1666" s="362" t="str">
        <f t="shared" si="177"/>
        <v>Пустая строка (убрать галочку)</v>
      </c>
    </row>
    <row r="1667" spans="1:10" hidden="1">
      <c r="A1667" s="33">
        <f>IF(D1667=0,0,A1666+1)</f>
        <v>0</v>
      </c>
      <c r="B1667" s="45" t="s">
        <v>119</v>
      </c>
      <c r="C1667" s="33" t="s">
        <v>116</v>
      </c>
      <c r="D1667" s="34">
        <f>VLOOKUP($F$57,таблица,41,0)</f>
        <v>0</v>
      </c>
      <c r="J1667" s="362" t="str">
        <f t="shared" si="177"/>
        <v>Пустая строка (убрать галочку)</v>
      </c>
    </row>
    <row r="1668" spans="1:10" hidden="1">
      <c r="A1668" s="33">
        <f>IF(D1668=0,0,A1667+1)</f>
        <v>0</v>
      </c>
      <c r="B1668" s="45" t="str">
        <f>"Всего с НДС на "&amp;'Анализ стоимости'!$AX$1&amp;" г."</f>
        <v>Всего с НДС на 2019 г.</v>
      </c>
      <c r="C1668" s="33" t="s">
        <v>116</v>
      </c>
      <c r="D1668" s="46">
        <f>SUM(D1666:D1667)</f>
        <v>0</v>
      </c>
      <c r="E1668" s="56">
        <f>VLOOKUP($F$57,таблица,52,0)</f>
        <v>0</v>
      </c>
      <c r="J1668" s="362" t="str">
        <f t="shared" si="177"/>
        <v>Пустая строка (убрать галочку)</v>
      </c>
    </row>
    <row r="1669" spans="1:10" hidden="1">
      <c r="A1669" s="33">
        <f>IF(D1669=0,0,A1668+1)</f>
        <v>0</v>
      </c>
      <c r="B1669" s="45" t="s">
        <v>118</v>
      </c>
      <c r="C1669" s="33" t="s">
        <v>116</v>
      </c>
      <c r="D1669" s="46">
        <f>IF(OR(D1665=0,D1668=0),0,D1668+D1665)</f>
        <v>0</v>
      </c>
      <c r="E1669" s="56">
        <f>VLOOKUP($F$57,таблица,42,0)</f>
        <v>0</v>
      </c>
      <c r="J1669" s="362" t="str">
        <f t="shared" si="177"/>
        <v>Пустая строка (убрать галочку)</v>
      </c>
    </row>
    <row r="1670" spans="1:10" hidden="1">
      <c r="A1670" s="13"/>
      <c r="B1670" s="13"/>
      <c r="C1670" s="13"/>
      <c r="D1670" s="14"/>
      <c r="J1670" s="362" t="str">
        <f>IF($F$57=0,"Пустая строка (убрать галочку)",1)</f>
        <v>Пустая строка (убрать галочку)</v>
      </c>
    </row>
    <row r="1671" spans="1:10" ht="47.25" hidden="1" customHeight="1">
      <c r="A1671" s="382" t="str">
        <f>'Анализ стоимости'!$I$100</f>
        <v>Специалист администрации Старонижестеблиевского сельского поселения Красноармейского района</v>
      </c>
      <c r="B1671" s="382"/>
      <c r="C1671" s="67"/>
      <c r="D1671" s="48" t="str">
        <f>'Анализ стоимости'!$I$101</f>
        <v>Шестопал О.Н.</v>
      </c>
      <c r="G1671" s="43" t="str">
        <f>A1671</f>
        <v>Специалист администрации Старонижестеблиевского сельского поселения Красноармейского района</v>
      </c>
      <c r="J1671" s="362" t="str">
        <f>IF($F$57=0,"Пустая строка (убрать галочку)",1)</f>
        <v>Пустая строка (убрать галочку)</v>
      </c>
    </row>
    <row r="1672" spans="1:10" hidden="1">
      <c r="A1672" s="49"/>
      <c r="B1672" s="49"/>
      <c r="C1672" s="49"/>
      <c r="D1672" s="50"/>
      <c r="J1672" s="362" t="str">
        <f>IF($F$57=0,"Пустая строка (убрать галочку)",1)</f>
        <v>Пустая строка (убрать галочку)</v>
      </c>
    </row>
    <row r="1673" spans="1:10" hidden="1">
      <c r="A1673" s="375"/>
      <c r="B1673" s="375"/>
      <c r="C1673" s="3"/>
      <c r="D1673" s="3"/>
      <c r="J1673" s="362" t="str">
        <f>IF($F$57=0,"Пустая строка (убрать галочку)",1)</f>
        <v>Пустая строка (убрать галочку)</v>
      </c>
    </row>
  </sheetData>
  <sheetProtection password="CAE6" sheet="1" objects="1" scenarios="1" formatCells="0" formatColumns="0" formatRows="0" insertColumns="0" insertRows="0" autoFilter="0"/>
  <autoFilter ref="J2:J1673">
    <filterColumn colId="0">
      <filters>
        <filter val="1"/>
      </filters>
    </filterColumn>
  </autoFilter>
  <mergeCells count="837">
    <mergeCell ref="C17:D17"/>
    <mergeCell ref="C18:D18"/>
    <mergeCell ref="C19:D19"/>
    <mergeCell ref="C20:D20"/>
    <mergeCell ref="C21:D21"/>
    <mergeCell ref="C22:D22"/>
    <mergeCell ref="A7:D7"/>
    <mergeCell ref="A8:D8"/>
    <mergeCell ref="A11:D11"/>
    <mergeCell ref="A12:D12"/>
    <mergeCell ref="A15:D15"/>
    <mergeCell ref="C16:D16"/>
    <mergeCell ref="A41:B41"/>
    <mergeCell ref="A42:D42"/>
    <mergeCell ref="A43:D43"/>
    <mergeCell ref="A46:D46"/>
    <mergeCell ref="C23:D23"/>
    <mergeCell ref="C24:D24"/>
    <mergeCell ref="C25:D25"/>
    <mergeCell ref="A26:D26"/>
    <mergeCell ref="A30:D30"/>
    <mergeCell ref="A39:B39"/>
    <mergeCell ref="C53:D53"/>
    <mergeCell ref="C54:D54"/>
    <mergeCell ref="C55:D55"/>
    <mergeCell ref="C56:D56"/>
    <mergeCell ref="A57:D57"/>
    <mergeCell ref="A64:D64"/>
    <mergeCell ref="C47:D47"/>
    <mergeCell ref="C48:D48"/>
    <mergeCell ref="C49:D49"/>
    <mergeCell ref="C50:D50"/>
    <mergeCell ref="C51:D51"/>
    <mergeCell ref="C52:D52"/>
    <mergeCell ref="A80:D80"/>
    <mergeCell ref="C81:D81"/>
    <mergeCell ref="C82:D82"/>
    <mergeCell ref="C83:D83"/>
    <mergeCell ref="C84:D84"/>
    <mergeCell ref="C85:D85"/>
    <mergeCell ref="A73:B73"/>
    <mergeCell ref="A75:B75"/>
    <mergeCell ref="A76:D76"/>
    <mergeCell ref="A77:D77"/>
    <mergeCell ref="A98:D98"/>
    <mergeCell ref="A107:B107"/>
    <mergeCell ref="A109:B109"/>
    <mergeCell ref="A110:D110"/>
    <mergeCell ref="A111:D111"/>
    <mergeCell ref="C86:D86"/>
    <mergeCell ref="C87:D87"/>
    <mergeCell ref="C88:D88"/>
    <mergeCell ref="C89:D89"/>
    <mergeCell ref="C90:D90"/>
    <mergeCell ref="A91:D91"/>
    <mergeCell ref="C119:D119"/>
    <mergeCell ref="C120:D120"/>
    <mergeCell ref="C121:D121"/>
    <mergeCell ref="C122:D122"/>
    <mergeCell ref="C123:D123"/>
    <mergeCell ref="C124:D124"/>
    <mergeCell ref="A114:D114"/>
    <mergeCell ref="C115:D115"/>
    <mergeCell ref="C116:D116"/>
    <mergeCell ref="C117:D117"/>
    <mergeCell ref="C118:D118"/>
    <mergeCell ref="A148:D148"/>
    <mergeCell ref="C149:D149"/>
    <mergeCell ref="C150:D150"/>
    <mergeCell ref="C151:D151"/>
    <mergeCell ref="A125:D125"/>
    <mergeCell ref="A132:D132"/>
    <mergeCell ref="A141:B141"/>
    <mergeCell ref="A143:B143"/>
    <mergeCell ref="A144:D144"/>
    <mergeCell ref="A145:D145"/>
    <mergeCell ref="C158:D158"/>
    <mergeCell ref="A159:D159"/>
    <mergeCell ref="A166:D166"/>
    <mergeCell ref="A175:B175"/>
    <mergeCell ref="A177:B177"/>
    <mergeCell ref="A178:D178"/>
    <mergeCell ref="C152:D152"/>
    <mergeCell ref="C153:D153"/>
    <mergeCell ref="C154:D154"/>
    <mergeCell ref="C155:D155"/>
    <mergeCell ref="C156:D156"/>
    <mergeCell ref="C157:D157"/>
    <mergeCell ref="C185:D185"/>
    <mergeCell ref="C186:D186"/>
    <mergeCell ref="C187:D187"/>
    <mergeCell ref="C188:D188"/>
    <mergeCell ref="C189:D189"/>
    <mergeCell ref="C190:D190"/>
    <mergeCell ref="A179:D179"/>
    <mergeCell ref="A182:D182"/>
    <mergeCell ref="C183:D183"/>
    <mergeCell ref="C184:D184"/>
    <mergeCell ref="A212:D212"/>
    <mergeCell ref="A213:D213"/>
    <mergeCell ref="A216:D216"/>
    <mergeCell ref="C217:D217"/>
    <mergeCell ref="C191:D191"/>
    <mergeCell ref="C192:D192"/>
    <mergeCell ref="A193:D193"/>
    <mergeCell ref="A200:D200"/>
    <mergeCell ref="A209:B209"/>
    <mergeCell ref="A211:B211"/>
    <mergeCell ref="C224:D224"/>
    <mergeCell ref="C225:D225"/>
    <mergeCell ref="C226:D226"/>
    <mergeCell ref="A227:D227"/>
    <mergeCell ref="A234:D234"/>
    <mergeCell ref="A243:B243"/>
    <mergeCell ref="C218:D218"/>
    <mergeCell ref="C219:D219"/>
    <mergeCell ref="C220:D220"/>
    <mergeCell ref="C221:D221"/>
    <mergeCell ref="C222:D222"/>
    <mergeCell ref="C223:D223"/>
    <mergeCell ref="C251:D251"/>
    <mergeCell ref="C252:D252"/>
    <mergeCell ref="C253:D253"/>
    <mergeCell ref="C254:D254"/>
    <mergeCell ref="C255:D255"/>
    <mergeCell ref="C256:D256"/>
    <mergeCell ref="A245:B245"/>
    <mergeCell ref="A246:D246"/>
    <mergeCell ref="A247:D247"/>
    <mergeCell ref="A250:D250"/>
    <mergeCell ref="A277:B277"/>
    <mergeCell ref="A279:B279"/>
    <mergeCell ref="A280:D280"/>
    <mergeCell ref="A281:D281"/>
    <mergeCell ref="C257:D257"/>
    <mergeCell ref="C258:D258"/>
    <mergeCell ref="C259:D259"/>
    <mergeCell ref="C260:D260"/>
    <mergeCell ref="A261:D261"/>
    <mergeCell ref="A268:D268"/>
    <mergeCell ref="C290:D290"/>
    <mergeCell ref="C291:D291"/>
    <mergeCell ref="C292:D292"/>
    <mergeCell ref="C293:D293"/>
    <mergeCell ref="C294:D294"/>
    <mergeCell ref="A295:D295"/>
    <mergeCell ref="A284:D284"/>
    <mergeCell ref="C285:D285"/>
    <mergeCell ref="C286:D286"/>
    <mergeCell ref="C287:D287"/>
    <mergeCell ref="C288:D288"/>
    <mergeCell ref="C289:D289"/>
    <mergeCell ref="A318:D318"/>
    <mergeCell ref="C319:D319"/>
    <mergeCell ref="C320:D320"/>
    <mergeCell ref="C321:D321"/>
    <mergeCell ref="C322:D322"/>
    <mergeCell ref="A302:D302"/>
    <mergeCell ref="A311:B311"/>
    <mergeCell ref="A313:B313"/>
    <mergeCell ref="A314:D314"/>
    <mergeCell ref="A315:D315"/>
    <mergeCell ref="A329:D329"/>
    <mergeCell ref="A336:D336"/>
    <mergeCell ref="A345:B345"/>
    <mergeCell ref="A347:B347"/>
    <mergeCell ref="C323:D323"/>
    <mergeCell ref="C324:D324"/>
    <mergeCell ref="C325:D325"/>
    <mergeCell ref="C326:D326"/>
    <mergeCell ref="C327:D327"/>
    <mergeCell ref="C328:D328"/>
    <mergeCell ref="A348:D348"/>
    <mergeCell ref="A349:D349"/>
    <mergeCell ref="A352:D352"/>
    <mergeCell ref="C356:D356"/>
    <mergeCell ref="C357:D357"/>
    <mergeCell ref="C358:D358"/>
    <mergeCell ref="C359:D359"/>
    <mergeCell ref="C353:D353"/>
    <mergeCell ref="C354:D354"/>
    <mergeCell ref="C355:D355"/>
    <mergeCell ref="A381:B381"/>
    <mergeCell ref="A382:D382"/>
    <mergeCell ref="A383:D383"/>
    <mergeCell ref="A386:D386"/>
    <mergeCell ref="C360:D360"/>
    <mergeCell ref="C361:D361"/>
    <mergeCell ref="C362:D362"/>
    <mergeCell ref="A363:D363"/>
    <mergeCell ref="A370:D370"/>
    <mergeCell ref="A379:B379"/>
    <mergeCell ref="C393:D393"/>
    <mergeCell ref="C394:D394"/>
    <mergeCell ref="C395:D395"/>
    <mergeCell ref="C396:D396"/>
    <mergeCell ref="A397:D397"/>
    <mergeCell ref="A404:D404"/>
    <mergeCell ref="C387:D387"/>
    <mergeCell ref="C388:D388"/>
    <mergeCell ref="C389:D389"/>
    <mergeCell ref="C390:D390"/>
    <mergeCell ref="C391:D391"/>
    <mergeCell ref="C392:D392"/>
    <mergeCell ref="A420:D420"/>
    <mergeCell ref="C421:D421"/>
    <mergeCell ref="C422:D422"/>
    <mergeCell ref="C423:D423"/>
    <mergeCell ref="C424:D424"/>
    <mergeCell ref="C425:D425"/>
    <mergeCell ref="A413:B413"/>
    <mergeCell ref="A415:B415"/>
    <mergeCell ref="A416:D416"/>
    <mergeCell ref="A417:D417"/>
    <mergeCell ref="A438:D438"/>
    <mergeCell ref="A447:B447"/>
    <mergeCell ref="A449:B449"/>
    <mergeCell ref="A450:D450"/>
    <mergeCell ref="A451:D451"/>
    <mergeCell ref="C426:D426"/>
    <mergeCell ref="C427:D427"/>
    <mergeCell ref="C428:D428"/>
    <mergeCell ref="C429:D429"/>
    <mergeCell ref="C430:D430"/>
    <mergeCell ref="A431:D431"/>
    <mergeCell ref="C459:D459"/>
    <mergeCell ref="C460:D460"/>
    <mergeCell ref="C461:D461"/>
    <mergeCell ref="C462:D462"/>
    <mergeCell ref="C463:D463"/>
    <mergeCell ref="C464:D464"/>
    <mergeCell ref="A454:D454"/>
    <mergeCell ref="C455:D455"/>
    <mergeCell ref="C456:D456"/>
    <mergeCell ref="C457:D457"/>
    <mergeCell ref="C458:D458"/>
    <mergeCell ref="A488:D488"/>
    <mergeCell ref="C489:D489"/>
    <mergeCell ref="C490:D490"/>
    <mergeCell ref="C491:D491"/>
    <mergeCell ref="A465:D465"/>
    <mergeCell ref="A472:D472"/>
    <mergeCell ref="A481:B481"/>
    <mergeCell ref="A483:B483"/>
    <mergeCell ref="A484:D484"/>
    <mergeCell ref="A485:D485"/>
    <mergeCell ref="C498:D498"/>
    <mergeCell ref="A499:D499"/>
    <mergeCell ref="A506:D506"/>
    <mergeCell ref="A515:B515"/>
    <mergeCell ref="A517:B517"/>
    <mergeCell ref="A518:D518"/>
    <mergeCell ref="C492:D492"/>
    <mergeCell ref="C493:D493"/>
    <mergeCell ref="C494:D494"/>
    <mergeCell ref="C495:D495"/>
    <mergeCell ref="C496:D496"/>
    <mergeCell ref="C497:D497"/>
    <mergeCell ref="C525:D525"/>
    <mergeCell ref="C526:D526"/>
    <mergeCell ref="C527:D527"/>
    <mergeCell ref="C528:D528"/>
    <mergeCell ref="C529:D529"/>
    <mergeCell ref="C530:D530"/>
    <mergeCell ref="A519:D519"/>
    <mergeCell ref="A522:D522"/>
    <mergeCell ref="C523:D523"/>
    <mergeCell ref="C524:D524"/>
    <mergeCell ref="A552:D552"/>
    <mergeCell ref="A553:D553"/>
    <mergeCell ref="A556:D556"/>
    <mergeCell ref="C557:D557"/>
    <mergeCell ref="C531:D531"/>
    <mergeCell ref="C532:D532"/>
    <mergeCell ref="A533:D533"/>
    <mergeCell ref="A540:D540"/>
    <mergeCell ref="A549:B549"/>
    <mergeCell ref="A551:B551"/>
    <mergeCell ref="C564:D564"/>
    <mergeCell ref="C565:D565"/>
    <mergeCell ref="C566:D566"/>
    <mergeCell ref="A567:D567"/>
    <mergeCell ref="A574:D574"/>
    <mergeCell ref="A583:B583"/>
    <mergeCell ref="C558:D558"/>
    <mergeCell ref="C559:D559"/>
    <mergeCell ref="C560:D560"/>
    <mergeCell ref="C561:D561"/>
    <mergeCell ref="C562:D562"/>
    <mergeCell ref="C563:D563"/>
    <mergeCell ref="C591:D591"/>
    <mergeCell ref="C592:D592"/>
    <mergeCell ref="C593:D593"/>
    <mergeCell ref="C594:D594"/>
    <mergeCell ref="C595:D595"/>
    <mergeCell ref="C596:D596"/>
    <mergeCell ref="A585:B585"/>
    <mergeCell ref="A586:D586"/>
    <mergeCell ref="A587:D587"/>
    <mergeCell ref="A590:D590"/>
    <mergeCell ref="A617:B617"/>
    <mergeCell ref="A619:B619"/>
    <mergeCell ref="A620:D620"/>
    <mergeCell ref="A621:D621"/>
    <mergeCell ref="C597:D597"/>
    <mergeCell ref="C598:D598"/>
    <mergeCell ref="C599:D599"/>
    <mergeCell ref="C600:D600"/>
    <mergeCell ref="A601:D601"/>
    <mergeCell ref="A608:D608"/>
    <mergeCell ref="C630:D630"/>
    <mergeCell ref="C631:D631"/>
    <mergeCell ref="C632:D632"/>
    <mergeCell ref="C633:D633"/>
    <mergeCell ref="C634:D634"/>
    <mergeCell ref="A635:D635"/>
    <mergeCell ref="A624:D624"/>
    <mergeCell ref="C625:D625"/>
    <mergeCell ref="C626:D626"/>
    <mergeCell ref="C627:D627"/>
    <mergeCell ref="C628:D628"/>
    <mergeCell ref="C629:D629"/>
    <mergeCell ref="A658:D658"/>
    <mergeCell ref="C659:D659"/>
    <mergeCell ref="C660:D660"/>
    <mergeCell ref="C661:D661"/>
    <mergeCell ref="C662:D662"/>
    <mergeCell ref="A642:D642"/>
    <mergeCell ref="A651:B651"/>
    <mergeCell ref="A653:B653"/>
    <mergeCell ref="A654:D654"/>
    <mergeCell ref="A655:D655"/>
    <mergeCell ref="A669:D669"/>
    <mergeCell ref="A676:D676"/>
    <mergeCell ref="A685:B685"/>
    <mergeCell ref="A687:B687"/>
    <mergeCell ref="A688:D688"/>
    <mergeCell ref="A689:D689"/>
    <mergeCell ref="C663:D663"/>
    <mergeCell ref="C664:D664"/>
    <mergeCell ref="C665:D665"/>
    <mergeCell ref="C666:D666"/>
    <mergeCell ref="C667:D667"/>
    <mergeCell ref="C668:D668"/>
    <mergeCell ref="C696:D696"/>
    <mergeCell ref="C697:D697"/>
    <mergeCell ref="C698:D698"/>
    <mergeCell ref="C699:D699"/>
    <mergeCell ref="C700:D700"/>
    <mergeCell ref="C701:D701"/>
    <mergeCell ref="A692:D692"/>
    <mergeCell ref="C693:D693"/>
    <mergeCell ref="C694:D694"/>
    <mergeCell ref="C695:D695"/>
    <mergeCell ref="A723:D723"/>
    <mergeCell ref="A726:D726"/>
    <mergeCell ref="C727:D727"/>
    <mergeCell ref="C728:D728"/>
    <mergeCell ref="C702:D702"/>
    <mergeCell ref="A703:D703"/>
    <mergeCell ref="A710:D710"/>
    <mergeCell ref="A719:B719"/>
    <mergeCell ref="A721:B721"/>
    <mergeCell ref="A722:D722"/>
    <mergeCell ref="C735:D735"/>
    <mergeCell ref="C736:D736"/>
    <mergeCell ref="A737:D737"/>
    <mergeCell ref="A744:D744"/>
    <mergeCell ref="A753:B753"/>
    <mergeCell ref="A755:B755"/>
    <mergeCell ref="C729:D729"/>
    <mergeCell ref="C730:D730"/>
    <mergeCell ref="C731:D731"/>
    <mergeCell ref="C732:D732"/>
    <mergeCell ref="C733:D733"/>
    <mergeCell ref="C734:D734"/>
    <mergeCell ref="C762:D762"/>
    <mergeCell ref="C763:D763"/>
    <mergeCell ref="C764:D764"/>
    <mergeCell ref="C765:D765"/>
    <mergeCell ref="C766:D766"/>
    <mergeCell ref="C767:D767"/>
    <mergeCell ref="A756:D756"/>
    <mergeCell ref="A757:D757"/>
    <mergeCell ref="A760:D760"/>
    <mergeCell ref="C761:D761"/>
    <mergeCell ref="A789:B789"/>
    <mergeCell ref="A790:D790"/>
    <mergeCell ref="A791:D791"/>
    <mergeCell ref="A794:D794"/>
    <mergeCell ref="C768:D768"/>
    <mergeCell ref="C769:D769"/>
    <mergeCell ref="C770:D770"/>
    <mergeCell ref="A771:D771"/>
    <mergeCell ref="A778:D778"/>
    <mergeCell ref="A787:B787"/>
    <mergeCell ref="C801:D801"/>
    <mergeCell ref="C802:D802"/>
    <mergeCell ref="C803:D803"/>
    <mergeCell ref="C804:D804"/>
    <mergeCell ref="A805:D805"/>
    <mergeCell ref="A812:D812"/>
    <mergeCell ref="C795:D795"/>
    <mergeCell ref="C796:D796"/>
    <mergeCell ref="C797:D797"/>
    <mergeCell ref="C798:D798"/>
    <mergeCell ref="C799:D799"/>
    <mergeCell ref="C800:D800"/>
    <mergeCell ref="A828:D828"/>
    <mergeCell ref="C829:D829"/>
    <mergeCell ref="C830:D830"/>
    <mergeCell ref="C831:D831"/>
    <mergeCell ref="C832:D832"/>
    <mergeCell ref="C833:D833"/>
    <mergeCell ref="A821:B821"/>
    <mergeCell ref="A823:B823"/>
    <mergeCell ref="A824:D824"/>
    <mergeCell ref="A825:D825"/>
    <mergeCell ref="A846:D846"/>
    <mergeCell ref="A855:B855"/>
    <mergeCell ref="A857:B857"/>
    <mergeCell ref="C834:D834"/>
    <mergeCell ref="C835:D835"/>
    <mergeCell ref="C836:D836"/>
    <mergeCell ref="C837:D837"/>
    <mergeCell ref="C838:D838"/>
    <mergeCell ref="A839:D839"/>
    <mergeCell ref="A858:D858"/>
    <mergeCell ref="A859:D859"/>
    <mergeCell ref="A862:D862"/>
    <mergeCell ref="C863:D863"/>
    <mergeCell ref="C864:D864"/>
    <mergeCell ref="C865:D865"/>
    <mergeCell ref="C866:D866"/>
    <mergeCell ref="C867:D867"/>
    <mergeCell ref="C868:D868"/>
    <mergeCell ref="C869:D869"/>
    <mergeCell ref="C870:D870"/>
    <mergeCell ref="C871:D871"/>
    <mergeCell ref="C872:D872"/>
    <mergeCell ref="A873:D873"/>
    <mergeCell ref="A880:D880"/>
    <mergeCell ref="A889:B889"/>
    <mergeCell ref="A891:B891"/>
    <mergeCell ref="A892:D892"/>
    <mergeCell ref="A893:D893"/>
    <mergeCell ref="A896:D896"/>
    <mergeCell ref="C897:D897"/>
    <mergeCell ref="C898:D898"/>
    <mergeCell ref="C899:D899"/>
    <mergeCell ref="C900:D900"/>
    <mergeCell ref="C901:D901"/>
    <mergeCell ref="C902:D902"/>
    <mergeCell ref="C903:D903"/>
    <mergeCell ref="C904:D904"/>
    <mergeCell ref="C905:D905"/>
    <mergeCell ref="C906:D906"/>
    <mergeCell ref="A907:D907"/>
    <mergeCell ref="A914:D914"/>
    <mergeCell ref="A923:B923"/>
    <mergeCell ref="A925:B925"/>
    <mergeCell ref="A926:D926"/>
    <mergeCell ref="A927:D927"/>
    <mergeCell ref="A930:D930"/>
    <mergeCell ref="C931:D931"/>
    <mergeCell ref="C932:D932"/>
    <mergeCell ref="C933:D933"/>
    <mergeCell ref="C934:D934"/>
    <mergeCell ref="C935:D935"/>
    <mergeCell ref="C936:D936"/>
    <mergeCell ref="C937:D937"/>
    <mergeCell ref="C938:D938"/>
    <mergeCell ref="C939:D939"/>
    <mergeCell ref="C940:D940"/>
    <mergeCell ref="A941:D941"/>
    <mergeCell ref="A948:D948"/>
    <mergeCell ref="A957:B957"/>
    <mergeCell ref="A959:B959"/>
    <mergeCell ref="A960:D960"/>
    <mergeCell ref="A961:D961"/>
    <mergeCell ref="A964:D964"/>
    <mergeCell ref="C965:D965"/>
    <mergeCell ref="C966:D966"/>
    <mergeCell ref="C967:D967"/>
    <mergeCell ref="C968:D968"/>
    <mergeCell ref="C969:D969"/>
    <mergeCell ref="C970:D970"/>
    <mergeCell ref="C971:D971"/>
    <mergeCell ref="C972:D972"/>
    <mergeCell ref="C973:D973"/>
    <mergeCell ref="C974:D974"/>
    <mergeCell ref="A975:D975"/>
    <mergeCell ref="A982:D982"/>
    <mergeCell ref="A991:B991"/>
    <mergeCell ref="A993:B993"/>
    <mergeCell ref="A994:D994"/>
    <mergeCell ref="A995:D995"/>
    <mergeCell ref="A998:D998"/>
    <mergeCell ref="C999:D999"/>
    <mergeCell ref="C1000:D1000"/>
    <mergeCell ref="C1001:D1001"/>
    <mergeCell ref="C1002:D1002"/>
    <mergeCell ref="C1003:D1003"/>
    <mergeCell ref="C1004:D1004"/>
    <mergeCell ref="C1005:D1005"/>
    <mergeCell ref="C1006:D1006"/>
    <mergeCell ref="C1007:D1007"/>
    <mergeCell ref="C1008:D1008"/>
    <mergeCell ref="A1009:D1009"/>
    <mergeCell ref="A1016:D1016"/>
    <mergeCell ref="A1025:B1025"/>
    <mergeCell ref="A1027:B1027"/>
    <mergeCell ref="A1028:D1028"/>
    <mergeCell ref="A1029:D1029"/>
    <mergeCell ref="A1032:D1032"/>
    <mergeCell ref="C1033:D1033"/>
    <mergeCell ref="C1034:D1034"/>
    <mergeCell ref="C1035:D1035"/>
    <mergeCell ref="C1036:D1036"/>
    <mergeCell ref="C1037:D1037"/>
    <mergeCell ref="C1038:D1038"/>
    <mergeCell ref="C1039:D1039"/>
    <mergeCell ref="C1040:D1040"/>
    <mergeCell ref="C1041:D1041"/>
    <mergeCell ref="C1042:D1042"/>
    <mergeCell ref="A1043:D1043"/>
    <mergeCell ref="A1050:D1050"/>
    <mergeCell ref="A1059:B1059"/>
    <mergeCell ref="A1061:B1061"/>
    <mergeCell ref="A1062:D1062"/>
    <mergeCell ref="A1063:D1063"/>
    <mergeCell ref="A1066:D1066"/>
    <mergeCell ref="C1067:D1067"/>
    <mergeCell ref="C1068:D1068"/>
    <mergeCell ref="C1069:D1069"/>
    <mergeCell ref="C1070:D1070"/>
    <mergeCell ref="C1071:D1071"/>
    <mergeCell ref="C1072:D1072"/>
    <mergeCell ref="C1073:D1073"/>
    <mergeCell ref="C1074:D1074"/>
    <mergeCell ref="C1075:D1075"/>
    <mergeCell ref="C1076:D1076"/>
    <mergeCell ref="A1077:D1077"/>
    <mergeCell ref="A1084:D1084"/>
    <mergeCell ref="A1093:B1093"/>
    <mergeCell ref="A1095:B1095"/>
    <mergeCell ref="A1096:D1096"/>
    <mergeCell ref="A1097:D1097"/>
    <mergeCell ref="A1100:D1100"/>
    <mergeCell ref="C1101:D1101"/>
    <mergeCell ref="C1102:D1102"/>
    <mergeCell ref="C1103:D1103"/>
    <mergeCell ref="C1104:D1104"/>
    <mergeCell ref="B1094:C1094"/>
    <mergeCell ref="C1105:D1105"/>
    <mergeCell ref="C1106:D1106"/>
    <mergeCell ref="C1107:D1107"/>
    <mergeCell ref="C1108:D1108"/>
    <mergeCell ref="C1109:D1109"/>
    <mergeCell ref="C1110:D1110"/>
    <mergeCell ref="A1111:D1111"/>
    <mergeCell ref="A1118:D1118"/>
    <mergeCell ref="A1127:B1127"/>
    <mergeCell ref="A1129:B1129"/>
    <mergeCell ref="A1130:D1130"/>
    <mergeCell ref="A1131:D1131"/>
    <mergeCell ref="A1134:D1134"/>
    <mergeCell ref="C1135:D1135"/>
    <mergeCell ref="C1136:D1136"/>
    <mergeCell ref="C1137:D1137"/>
    <mergeCell ref="C1138:D1138"/>
    <mergeCell ref="C1139:D1139"/>
    <mergeCell ref="C1140:D1140"/>
    <mergeCell ref="C1141:D1141"/>
    <mergeCell ref="C1142:D1142"/>
    <mergeCell ref="C1143:D1143"/>
    <mergeCell ref="C1144:D1144"/>
    <mergeCell ref="A1145:D1145"/>
    <mergeCell ref="A1152:D1152"/>
    <mergeCell ref="A1161:B1161"/>
    <mergeCell ref="A1163:B1163"/>
    <mergeCell ref="A1164:D1164"/>
    <mergeCell ref="A1165:D1165"/>
    <mergeCell ref="A1168:D1168"/>
    <mergeCell ref="C1169:D1169"/>
    <mergeCell ref="C1170:D1170"/>
    <mergeCell ref="C1171:D1171"/>
    <mergeCell ref="C1172:D1172"/>
    <mergeCell ref="C1173:D1173"/>
    <mergeCell ref="C1174:D1174"/>
    <mergeCell ref="C1175:D1175"/>
    <mergeCell ref="C1176:D1176"/>
    <mergeCell ref="C1177:D1177"/>
    <mergeCell ref="C1178:D1178"/>
    <mergeCell ref="A1179:D1179"/>
    <mergeCell ref="A1186:D1186"/>
    <mergeCell ref="A1195:B1195"/>
    <mergeCell ref="A1197:B1197"/>
    <mergeCell ref="A1198:D1198"/>
    <mergeCell ref="A1199:D1199"/>
    <mergeCell ref="A1202:D1202"/>
    <mergeCell ref="C1203:D1203"/>
    <mergeCell ref="C1204:D1204"/>
    <mergeCell ref="C1205:D1205"/>
    <mergeCell ref="C1206:D1206"/>
    <mergeCell ref="C1207:D1207"/>
    <mergeCell ref="C1208:D1208"/>
    <mergeCell ref="C1209:D1209"/>
    <mergeCell ref="C1210:D1210"/>
    <mergeCell ref="C1211:D1211"/>
    <mergeCell ref="C1212:D1212"/>
    <mergeCell ref="A1213:D1213"/>
    <mergeCell ref="A1220:D1220"/>
    <mergeCell ref="A1229:B1229"/>
    <mergeCell ref="A1231:B1231"/>
    <mergeCell ref="A1232:D1232"/>
    <mergeCell ref="A1233:D1233"/>
    <mergeCell ref="A1236:D1236"/>
    <mergeCell ref="C1237:D1237"/>
    <mergeCell ref="C1238:D1238"/>
    <mergeCell ref="C1239:D1239"/>
    <mergeCell ref="C1240:D1240"/>
    <mergeCell ref="C1241:D1241"/>
    <mergeCell ref="C1242:D1242"/>
    <mergeCell ref="C1243:D1243"/>
    <mergeCell ref="C1244:D1244"/>
    <mergeCell ref="C1245:D1245"/>
    <mergeCell ref="C1246:D1246"/>
    <mergeCell ref="A1247:D1247"/>
    <mergeCell ref="A1254:D1254"/>
    <mergeCell ref="A1263:B1263"/>
    <mergeCell ref="A1265:B1265"/>
    <mergeCell ref="A1266:D1266"/>
    <mergeCell ref="A1267:D1267"/>
    <mergeCell ref="A1270:D1270"/>
    <mergeCell ref="C1271:D1271"/>
    <mergeCell ref="C1272:D1272"/>
    <mergeCell ref="C1273:D1273"/>
    <mergeCell ref="C1274:D1274"/>
    <mergeCell ref="C1275:D1275"/>
    <mergeCell ref="C1276:D1276"/>
    <mergeCell ref="C1277:D1277"/>
    <mergeCell ref="C1278:D1278"/>
    <mergeCell ref="C1279:D1279"/>
    <mergeCell ref="C1280:D1280"/>
    <mergeCell ref="A1281:D1281"/>
    <mergeCell ref="A1288:D1288"/>
    <mergeCell ref="A1297:B1297"/>
    <mergeCell ref="A1299:B1299"/>
    <mergeCell ref="A1300:D1300"/>
    <mergeCell ref="A1301:D1301"/>
    <mergeCell ref="A1304:D1304"/>
    <mergeCell ref="C1305:D1305"/>
    <mergeCell ref="C1306:D1306"/>
    <mergeCell ref="C1307:D1307"/>
    <mergeCell ref="C1308:D1308"/>
    <mergeCell ref="C1309:D1309"/>
    <mergeCell ref="C1310:D1310"/>
    <mergeCell ref="C1311:D1311"/>
    <mergeCell ref="C1312:D1312"/>
    <mergeCell ref="C1313:D1313"/>
    <mergeCell ref="C1314:D1314"/>
    <mergeCell ref="A1315:D1315"/>
    <mergeCell ref="A1322:D1322"/>
    <mergeCell ref="A1331:B1331"/>
    <mergeCell ref="A1333:B1333"/>
    <mergeCell ref="A1334:D1334"/>
    <mergeCell ref="A1335:D1335"/>
    <mergeCell ref="A1338:D1338"/>
    <mergeCell ref="C1339:D1339"/>
    <mergeCell ref="C1340:D1340"/>
    <mergeCell ref="C1341:D1341"/>
    <mergeCell ref="C1342:D1342"/>
    <mergeCell ref="C1343:D1343"/>
    <mergeCell ref="C1344:D1344"/>
    <mergeCell ref="C1345:D1345"/>
    <mergeCell ref="C1346:D1346"/>
    <mergeCell ref="C1347:D1347"/>
    <mergeCell ref="C1348:D1348"/>
    <mergeCell ref="A1349:D1349"/>
    <mergeCell ref="A1356:D1356"/>
    <mergeCell ref="A1365:B1365"/>
    <mergeCell ref="A1367:B1367"/>
    <mergeCell ref="A1368:D1368"/>
    <mergeCell ref="A1369:D1369"/>
    <mergeCell ref="A1372:D1372"/>
    <mergeCell ref="C1373:D1373"/>
    <mergeCell ref="C1374:D1374"/>
    <mergeCell ref="C1375:D1375"/>
    <mergeCell ref="C1376:D1376"/>
    <mergeCell ref="C1377:D1377"/>
    <mergeCell ref="C1378:D1378"/>
    <mergeCell ref="C1379:D1379"/>
    <mergeCell ref="C1380:D1380"/>
    <mergeCell ref="C1381:D1381"/>
    <mergeCell ref="C1382:D1382"/>
    <mergeCell ref="A1383:D1383"/>
    <mergeCell ref="A1390:D1390"/>
    <mergeCell ref="A1399:B1399"/>
    <mergeCell ref="A1401:B1401"/>
    <mergeCell ref="A1402:D1402"/>
    <mergeCell ref="A1403:D1403"/>
    <mergeCell ref="A1406:D1406"/>
    <mergeCell ref="C1407:D1407"/>
    <mergeCell ref="C1408:D1408"/>
    <mergeCell ref="C1409:D1409"/>
    <mergeCell ref="C1410:D1410"/>
    <mergeCell ref="C1411:D1411"/>
    <mergeCell ref="C1412:D1412"/>
    <mergeCell ref="C1413:D1413"/>
    <mergeCell ref="C1414:D1414"/>
    <mergeCell ref="C1415:D1415"/>
    <mergeCell ref="C1416:D1416"/>
    <mergeCell ref="A1417:D1417"/>
    <mergeCell ref="A1424:D1424"/>
    <mergeCell ref="A1433:B1433"/>
    <mergeCell ref="A1435:B1435"/>
    <mergeCell ref="A1436:D1436"/>
    <mergeCell ref="A1437:D1437"/>
    <mergeCell ref="A1440:D1440"/>
    <mergeCell ref="C1441:D1441"/>
    <mergeCell ref="C1442:D1442"/>
    <mergeCell ref="C1443:D1443"/>
    <mergeCell ref="C1444:D1444"/>
    <mergeCell ref="C1445:D1445"/>
    <mergeCell ref="C1446:D1446"/>
    <mergeCell ref="C1447:D1447"/>
    <mergeCell ref="C1448:D1448"/>
    <mergeCell ref="C1449:D1449"/>
    <mergeCell ref="C1450:D1450"/>
    <mergeCell ref="A1451:D1451"/>
    <mergeCell ref="A1458:D1458"/>
    <mergeCell ref="A1467:B1467"/>
    <mergeCell ref="A1469:B1469"/>
    <mergeCell ref="A1470:D1470"/>
    <mergeCell ref="A1471:D1471"/>
    <mergeCell ref="A1474:D1474"/>
    <mergeCell ref="C1475:D1475"/>
    <mergeCell ref="C1476:D1476"/>
    <mergeCell ref="C1477:D1477"/>
    <mergeCell ref="C1478:D1478"/>
    <mergeCell ref="C1479:D1479"/>
    <mergeCell ref="C1480:D1480"/>
    <mergeCell ref="C1481:D1481"/>
    <mergeCell ref="C1482:D1482"/>
    <mergeCell ref="C1483:D1483"/>
    <mergeCell ref="C1484:D1484"/>
    <mergeCell ref="A1485:D1485"/>
    <mergeCell ref="A1492:D1492"/>
    <mergeCell ref="A1501:B1501"/>
    <mergeCell ref="A1503:B1503"/>
    <mergeCell ref="A1504:D1504"/>
    <mergeCell ref="A1505:D1505"/>
    <mergeCell ref="A1508:D1508"/>
    <mergeCell ref="C1509:D1509"/>
    <mergeCell ref="C1510:D1510"/>
    <mergeCell ref="C1511:D1511"/>
    <mergeCell ref="C1512:D1512"/>
    <mergeCell ref="C1513:D1513"/>
    <mergeCell ref="C1514:D1514"/>
    <mergeCell ref="C1515:D1515"/>
    <mergeCell ref="C1516:D1516"/>
    <mergeCell ref="C1517:D1517"/>
    <mergeCell ref="C1518:D1518"/>
    <mergeCell ref="A1519:D1519"/>
    <mergeCell ref="A1526:D1526"/>
    <mergeCell ref="A1535:B1535"/>
    <mergeCell ref="A1537:B1537"/>
    <mergeCell ref="A1538:D1538"/>
    <mergeCell ref="A1539:D1539"/>
    <mergeCell ref="A1542:D1542"/>
    <mergeCell ref="C1543:D1543"/>
    <mergeCell ref="C1544:D1544"/>
    <mergeCell ref="C1545:D1545"/>
    <mergeCell ref="C1546:D1546"/>
    <mergeCell ref="C1547:D1547"/>
    <mergeCell ref="C1548:D1548"/>
    <mergeCell ref="C1549:D1549"/>
    <mergeCell ref="C1550:D1550"/>
    <mergeCell ref="C1551:D1551"/>
    <mergeCell ref="C1552:D1552"/>
    <mergeCell ref="A1553:D1553"/>
    <mergeCell ref="A1560:D1560"/>
    <mergeCell ref="A1569:B1569"/>
    <mergeCell ref="A1571:B1571"/>
    <mergeCell ref="A1572:D1572"/>
    <mergeCell ref="A1573:D1573"/>
    <mergeCell ref="A1576:D1576"/>
    <mergeCell ref="B1570:C1570"/>
    <mergeCell ref="C1577:D1577"/>
    <mergeCell ref="C1578:D1578"/>
    <mergeCell ref="C1579:D1579"/>
    <mergeCell ref="C1580:D1580"/>
    <mergeCell ref="C1581:D1581"/>
    <mergeCell ref="C1582:D1582"/>
    <mergeCell ref="C1583:D1583"/>
    <mergeCell ref="C1584:D1584"/>
    <mergeCell ref="C1585:D1585"/>
    <mergeCell ref="C1586:D1586"/>
    <mergeCell ref="A1587:D1587"/>
    <mergeCell ref="A1594:D1594"/>
    <mergeCell ref="A1603:B1603"/>
    <mergeCell ref="A1605:B1605"/>
    <mergeCell ref="A1606:D1606"/>
    <mergeCell ref="A1607:D1607"/>
    <mergeCell ref="A1610:D1610"/>
    <mergeCell ref="C1611:D1611"/>
    <mergeCell ref="C1612:D1612"/>
    <mergeCell ref="C1613:D1613"/>
    <mergeCell ref="C1614:D1614"/>
    <mergeCell ref="C1615:D1615"/>
    <mergeCell ref="C1616:D1616"/>
    <mergeCell ref="C1617:D1617"/>
    <mergeCell ref="C1618:D1618"/>
    <mergeCell ref="C1619:D1619"/>
    <mergeCell ref="C1620:D1620"/>
    <mergeCell ref="A1621:D1621"/>
    <mergeCell ref="A1628:D1628"/>
    <mergeCell ref="A1637:B1637"/>
    <mergeCell ref="A1639:B1639"/>
    <mergeCell ref="A1640:D1640"/>
    <mergeCell ref="A1641:D1641"/>
    <mergeCell ref="A1644:D1644"/>
    <mergeCell ref="C1645:D1645"/>
    <mergeCell ref="C1646:D1646"/>
    <mergeCell ref="A1662:D1662"/>
    <mergeCell ref="A1671:B1671"/>
    <mergeCell ref="A1673:B1673"/>
    <mergeCell ref="C1647:D1647"/>
    <mergeCell ref="C1648:D1648"/>
    <mergeCell ref="C1649:D1649"/>
    <mergeCell ref="C1650:D1650"/>
    <mergeCell ref="C1651:D1651"/>
    <mergeCell ref="C1652:D1652"/>
    <mergeCell ref="C1653:D1653"/>
    <mergeCell ref="C1654:D1654"/>
    <mergeCell ref="A1655:D1655"/>
  </mergeCells>
  <conditionalFormatting sqref="E36">
    <cfRule type="cellIs" dxfId="147" priority="148" operator="notEqual">
      <formula>D36</formula>
    </cfRule>
  </conditionalFormatting>
  <conditionalFormatting sqref="E33">
    <cfRule type="cellIs" dxfId="146" priority="147" operator="notEqual">
      <formula>D33</formula>
    </cfRule>
  </conditionalFormatting>
  <conditionalFormatting sqref="E37">
    <cfRule type="cellIs" dxfId="145" priority="146" operator="notEqual">
      <formula>D33+D36</formula>
    </cfRule>
  </conditionalFormatting>
  <conditionalFormatting sqref="E70">
    <cfRule type="cellIs" dxfId="144" priority="145" operator="notEqual">
      <formula>D70</formula>
    </cfRule>
  </conditionalFormatting>
  <conditionalFormatting sqref="E67">
    <cfRule type="cellIs" dxfId="143" priority="144" operator="notEqual">
      <formula>D67</formula>
    </cfRule>
  </conditionalFormatting>
  <conditionalFormatting sqref="E71">
    <cfRule type="cellIs" dxfId="142" priority="143" operator="notEqual">
      <formula>D67+D70</formula>
    </cfRule>
  </conditionalFormatting>
  <conditionalFormatting sqref="E104">
    <cfRule type="cellIs" dxfId="141" priority="142" operator="notEqual">
      <formula>D104</formula>
    </cfRule>
  </conditionalFormatting>
  <conditionalFormatting sqref="E101">
    <cfRule type="cellIs" dxfId="140" priority="141" operator="notEqual">
      <formula>D101</formula>
    </cfRule>
  </conditionalFormatting>
  <conditionalFormatting sqref="E105">
    <cfRule type="cellIs" dxfId="139" priority="140" operator="notEqual">
      <formula>D101+D104</formula>
    </cfRule>
  </conditionalFormatting>
  <conditionalFormatting sqref="E138">
    <cfRule type="cellIs" dxfId="138" priority="139" operator="notEqual">
      <formula>D138</formula>
    </cfRule>
  </conditionalFormatting>
  <conditionalFormatting sqref="E135">
    <cfRule type="cellIs" dxfId="137" priority="138" operator="notEqual">
      <formula>D135</formula>
    </cfRule>
  </conditionalFormatting>
  <conditionalFormatting sqref="E139">
    <cfRule type="cellIs" dxfId="136" priority="137" operator="notEqual">
      <formula>D135+D138</formula>
    </cfRule>
  </conditionalFormatting>
  <conditionalFormatting sqref="E173">
    <cfRule type="cellIs" dxfId="135" priority="134" operator="notEqual">
      <formula>D169+D172</formula>
    </cfRule>
  </conditionalFormatting>
  <conditionalFormatting sqref="E172">
    <cfRule type="cellIs" dxfId="134" priority="136" operator="notEqual">
      <formula>D172</formula>
    </cfRule>
  </conditionalFormatting>
  <conditionalFormatting sqref="E169">
    <cfRule type="cellIs" dxfId="133" priority="135" operator="notEqual">
      <formula>D169</formula>
    </cfRule>
  </conditionalFormatting>
  <conditionalFormatting sqref="E207">
    <cfRule type="cellIs" dxfId="132" priority="131" operator="notEqual">
      <formula>D203+D206</formula>
    </cfRule>
  </conditionalFormatting>
  <conditionalFormatting sqref="E206">
    <cfRule type="cellIs" dxfId="131" priority="133" operator="notEqual">
      <formula>D206</formula>
    </cfRule>
  </conditionalFormatting>
  <conditionalFormatting sqref="E203">
    <cfRule type="cellIs" dxfId="130" priority="132" operator="notEqual">
      <formula>D203</formula>
    </cfRule>
  </conditionalFormatting>
  <conditionalFormatting sqref="E241">
    <cfRule type="cellIs" dxfId="129" priority="128" operator="notEqual">
      <formula>D237+D240</formula>
    </cfRule>
  </conditionalFormatting>
  <conditionalFormatting sqref="E240">
    <cfRule type="cellIs" dxfId="128" priority="130" operator="notEqual">
      <formula>D240</formula>
    </cfRule>
  </conditionalFormatting>
  <conditionalFormatting sqref="E237">
    <cfRule type="cellIs" dxfId="127" priority="129" operator="notEqual">
      <formula>D237</formula>
    </cfRule>
  </conditionalFormatting>
  <conditionalFormatting sqref="E275">
    <cfRule type="cellIs" dxfId="126" priority="125" operator="notEqual">
      <formula>D271+D274</formula>
    </cfRule>
  </conditionalFormatting>
  <conditionalFormatting sqref="E274">
    <cfRule type="cellIs" dxfId="125" priority="127" operator="notEqual">
      <formula>D274</formula>
    </cfRule>
  </conditionalFormatting>
  <conditionalFormatting sqref="E271">
    <cfRule type="cellIs" dxfId="124" priority="126" operator="notEqual">
      <formula>D271</formula>
    </cfRule>
  </conditionalFormatting>
  <conditionalFormatting sqref="E309">
    <cfRule type="cellIs" dxfId="123" priority="122" operator="notEqual">
      <formula>D305+D308</formula>
    </cfRule>
  </conditionalFormatting>
  <conditionalFormatting sqref="E308">
    <cfRule type="cellIs" dxfId="122" priority="124" operator="notEqual">
      <formula>D308</formula>
    </cfRule>
  </conditionalFormatting>
  <conditionalFormatting sqref="E305">
    <cfRule type="cellIs" dxfId="121" priority="123" operator="notEqual">
      <formula>D305</formula>
    </cfRule>
  </conditionalFormatting>
  <conditionalFormatting sqref="E343">
    <cfRule type="cellIs" dxfId="120" priority="119" operator="notEqual">
      <formula>D339+D342</formula>
    </cfRule>
  </conditionalFormatting>
  <conditionalFormatting sqref="E342">
    <cfRule type="cellIs" dxfId="119" priority="121" operator="notEqual">
      <formula>D342</formula>
    </cfRule>
  </conditionalFormatting>
  <conditionalFormatting sqref="E339">
    <cfRule type="cellIs" dxfId="118" priority="120" operator="notEqual">
      <formula>D339</formula>
    </cfRule>
  </conditionalFormatting>
  <conditionalFormatting sqref="E377">
    <cfRule type="cellIs" dxfId="117" priority="116" operator="notEqual">
      <formula>D373+D376</formula>
    </cfRule>
  </conditionalFormatting>
  <conditionalFormatting sqref="E376">
    <cfRule type="cellIs" dxfId="116" priority="118" operator="notEqual">
      <formula>D376</formula>
    </cfRule>
  </conditionalFormatting>
  <conditionalFormatting sqref="E373">
    <cfRule type="cellIs" dxfId="115" priority="117" operator="notEqual">
      <formula>D373</formula>
    </cfRule>
  </conditionalFormatting>
  <conditionalFormatting sqref="E411">
    <cfRule type="cellIs" dxfId="114" priority="113" operator="notEqual">
      <formula>D407+D410</formula>
    </cfRule>
  </conditionalFormatting>
  <conditionalFormatting sqref="E410">
    <cfRule type="cellIs" dxfId="113" priority="115" operator="notEqual">
      <formula>D410</formula>
    </cfRule>
  </conditionalFormatting>
  <conditionalFormatting sqref="E407">
    <cfRule type="cellIs" dxfId="112" priority="114" operator="notEqual">
      <formula>D407</formula>
    </cfRule>
  </conditionalFormatting>
  <conditionalFormatting sqref="E445">
    <cfRule type="cellIs" dxfId="111" priority="110" operator="notEqual">
      <formula>D441+D444</formula>
    </cfRule>
  </conditionalFormatting>
  <conditionalFormatting sqref="E444">
    <cfRule type="cellIs" dxfId="110" priority="112" operator="notEqual">
      <formula>D444</formula>
    </cfRule>
  </conditionalFormatting>
  <conditionalFormatting sqref="E441">
    <cfRule type="cellIs" dxfId="109" priority="111" operator="notEqual">
      <formula>D441</formula>
    </cfRule>
  </conditionalFormatting>
  <conditionalFormatting sqref="E479">
    <cfRule type="cellIs" dxfId="108" priority="107" operator="notEqual">
      <formula>D475+D478</formula>
    </cfRule>
  </conditionalFormatting>
  <conditionalFormatting sqref="E478">
    <cfRule type="cellIs" dxfId="107" priority="109" operator="notEqual">
      <formula>D478</formula>
    </cfRule>
  </conditionalFormatting>
  <conditionalFormatting sqref="E475">
    <cfRule type="cellIs" dxfId="106" priority="108" operator="notEqual">
      <formula>D475</formula>
    </cfRule>
  </conditionalFormatting>
  <conditionalFormatting sqref="E513">
    <cfRule type="cellIs" dxfId="105" priority="104" operator="notEqual">
      <formula>D509+D512</formula>
    </cfRule>
  </conditionalFormatting>
  <conditionalFormatting sqref="E512">
    <cfRule type="cellIs" dxfId="104" priority="106" operator="notEqual">
      <formula>D512</formula>
    </cfRule>
  </conditionalFormatting>
  <conditionalFormatting sqref="E509">
    <cfRule type="cellIs" dxfId="103" priority="105" operator="notEqual">
      <formula>D509</formula>
    </cfRule>
  </conditionalFormatting>
  <conditionalFormatting sqref="E547">
    <cfRule type="cellIs" dxfId="102" priority="101" operator="notEqual">
      <formula>D543+D546</formula>
    </cfRule>
  </conditionalFormatting>
  <conditionalFormatting sqref="E546">
    <cfRule type="cellIs" dxfId="101" priority="103" operator="notEqual">
      <formula>D546</formula>
    </cfRule>
  </conditionalFormatting>
  <conditionalFormatting sqref="E543">
    <cfRule type="cellIs" dxfId="100" priority="102" operator="notEqual">
      <formula>D543</formula>
    </cfRule>
  </conditionalFormatting>
  <conditionalFormatting sqref="E581">
    <cfRule type="cellIs" dxfId="99" priority="98" operator="notEqual">
      <formula>D577+D580</formula>
    </cfRule>
  </conditionalFormatting>
  <conditionalFormatting sqref="E580">
    <cfRule type="cellIs" dxfId="98" priority="100" operator="notEqual">
      <formula>D580</formula>
    </cfRule>
  </conditionalFormatting>
  <conditionalFormatting sqref="E577">
    <cfRule type="cellIs" dxfId="97" priority="99" operator="notEqual">
      <formula>D577</formula>
    </cfRule>
  </conditionalFormatting>
  <conditionalFormatting sqref="E615">
    <cfRule type="cellIs" dxfId="96" priority="95" operator="notEqual">
      <formula>D611+D614</formula>
    </cfRule>
  </conditionalFormatting>
  <conditionalFormatting sqref="E614">
    <cfRule type="cellIs" dxfId="95" priority="97" operator="notEqual">
      <formula>D614</formula>
    </cfRule>
  </conditionalFormatting>
  <conditionalFormatting sqref="E611">
    <cfRule type="cellIs" dxfId="94" priority="96" operator="notEqual">
      <formula>D611</formula>
    </cfRule>
  </conditionalFormatting>
  <conditionalFormatting sqref="E649">
    <cfRule type="cellIs" dxfId="93" priority="92" operator="notEqual">
      <formula>D645+D648</formula>
    </cfRule>
  </conditionalFormatting>
  <conditionalFormatting sqref="E648">
    <cfRule type="cellIs" dxfId="92" priority="94" operator="notEqual">
      <formula>D648</formula>
    </cfRule>
  </conditionalFormatting>
  <conditionalFormatting sqref="E645">
    <cfRule type="cellIs" dxfId="91" priority="93" operator="notEqual">
      <formula>D645</formula>
    </cfRule>
  </conditionalFormatting>
  <conditionalFormatting sqref="E683">
    <cfRule type="cellIs" dxfId="90" priority="89" operator="notEqual">
      <formula>D679+D682</formula>
    </cfRule>
  </conditionalFormatting>
  <conditionalFormatting sqref="E682">
    <cfRule type="cellIs" dxfId="89" priority="91" operator="notEqual">
      <formula>D682</formula>
    </cfRule>
  </conditionalFormatting>
  <conditionalFormatting sqref="E679">
    <cfRule type="cellIs" dxfId="88" priority="90" operator="notEqual">
      <formula>D679</formula>
    </cfRule>
  </conditionalFormatting>
  <conditionalFormatting sqref="E717">
    <cfRule type="cellIs" dxfId="87" priority="86" operator="notEqual">
      <formula>D713+D716</formula>
    </cfRule>
  </conditionalFormatting>
  <conditionalFormatting sqref="E716">
    <cfRule type="cellIs" dxfId="86" priority="88" operator="notEqual">
      <formula>D716</formula>
    </cfRule>
  </conditionalFormatting>
  <conditionalFormatting sqref="E713">
    <cfRule type="cellIs" dxfId="85" priority="87" operator="notEqual">
      <formula>D713</formula>
    </cfRule>
  </conditionalFormatting>
  <conditionalFormatting sqref="E751">
    <cfRule type="cellIs" dxfId="84" priority="83" operator="notEqual">
      <formula>D747+D750</formula>
    </cfRule>
  </conditionalFormatting>
  <conditionalFormatting sqref="E750">
    <cfRule type="cellIs" dxfId="83" priority="85" operator="notEqual">
      <formula>D750</formula>
    </cfRule>
  </conditionalFormatting>
  <conditionalFormatting sqref="E747">
    <cfRule type="cellIs" dxfId="82" priority="84" operator="notEqual">
      <formula>D747</formula>
    </cfRule>
  </conditionalFormatting>
  <conditionalFormatting sqref="E785">
    <cfRule type="cellIs" dxfId="81" priority="80" operator="notEqual">
      <formula>D781+D784</formula>
    </cfRule>
  </conditionalFormatting>
  <conditionalFormatting sqref="E784">
    <cfRule type="cellIs" dxfId="80" priority="82" operator="notEqual">
      <formula>D784</formula>
    </cfRule>
  </conditionalFormatting>
  <conditionalFormatting sqref="E781">
    <cfRule type="cellIs" dxfId="79" priority="81" operator="notEqual">
      <formula>D781</formula>
    </cfRule>
  </conditionalFormatting>
  <conditionalFormatting sqref="E819">
    <cfRule type="cellIs" dxfId="78" priority="77" operator="notEqual">
      <formula>D815+D818</formula>
    </cfRule>
  </conditionalFormatting>
  <conditionalFormatting sqref="E818">
    <cfRule type="cellIs" dxfId="77" priority="79" operator="notEqual">
      <formula>D818</formula>
    </cfRule>
  </conditionalFormatting>
  <conditionalFormatting sqref="E815">
    <cfRule type="cellIs" dxfId="76" priority="78" operator="notEqual">
      <formula>D815</formula>
    </cfRule>
  </conditionalFormatting>
  <conditionalFormatting sqref="E853">
    <cfRule type="cellIs" dxfId="75" priority="74" operator="notEqual">
      <formula>D849+D852</formula>
    </cfRule>
  </conditionalFormatting>
  <conditionalFormatting sqref="E852">
    <cfRule type="cellIs" dxfId="74" priority="76" operator="notEqual">
      <formula>D852</formula>
    </cfRule>
  </conditionalFormatting>
  <conditionalFormatting sqref="E849">
    <cfRule type="cellIs" dxfId="73" priority="75" operator="notEqual">
      <formula>D849</formula>
    </cfRule>
  </conditionalFormatting>
  <conditionalFormatting sqref="E25">
    <cfRule type="cellIs" dxfId="72" priority="73" operator="notEqual">
      <formula>C25</formula>
    </cfRule>
  </conditionalFormatting>
  <conditionalFormatting sqref="E886">
    <cfRule type="cellIs" dxfId="71" priority="72" operator="notEqual">
      <formula>D886</formula>
    </cfRule>
  </conditionalFormatting>
  <conditionalFormatting sqref="E883">
    <cfRule type="cellIs" dxfId="70" priority="71" operator="notEqual">
      <formula>D883</formula>
    </cfRule>
  </conditionalFormatting>
  <conditionalFormatting sqref="E887">
    <cfRule type="cellIs" dxfId="69" priority="70" operator="notEqual">
      <formula>D883+D886</formula>
    </cfRule>
  </conditionalFormatting>
  <conditionalFormatting sqref="E920">
    <cfRule type="cellIs" dxfId="68" priority="69" operator="notEqual">
      <formula>D920</formula>
    </cfRule>
  </conditionalFormatting>
  <conditionalFormatting sqref="E917">
    <cfRule type="cellIs" dxfId="67" priority="68" operator="notEqual">
      <formula>D917</formula>
    </cfRule>
  </conditionalFormatting>
  <conditionalFormatting sqref="E921">
    <cfRule type="cellIs" dxfId="66" priority="67" operator="notEqual">
      <formula>D917+D920</formula>
    </cfRule>
  </conditionalFormatting>
  <conditionalFormatting sqref="E954">
    <cfRule type="cellIs" dxfId="65" priority="66" operator="notEqual">
      <formula>D954</formula>
    </cfRule>
  </conditionalFormatting>
  <conditionalFormatting sqref="E951">
    <cfRule type="cellIs" dxfId="64" priority="65" operator="notEqual">
      <formula>D951</formula>
    </cfRule>
  </conditionalFormatting>
  <conditionalFormatting sqref="E955">
    <cfRule type="cellIs" dxfId="63" priority="64" operator="notEqual">
      <formula>D951+D954</formula>
    </cfRule>
  </conditionalFormatting>
  <conditionalFormatting sqref="E989">
    <cfRule type="cellIs" dxfId="62" priority="61" operator="notEqual">
      <formula>D985+D988</formula>
    </cfRule>
  </conditionalFormatting>
  <conditionalFormatting sqref="E988">
    <cfRule type="cellIs" dxfId="61" priority="63" operator="notEqual">
      <formula>D988</formula>
    </cfRule>
  </conditionalFormatting>
  <conditionalFormatting sqref="E985">
    <cfRule type="cellIs" dxfId="60" priority="62" operator="notEqual">
      <formula>D985</formula>
    </cfRule>
  </conditionalFormatting>
  <conditionalFormatting sqref="E1023">
    <cfRule type="cellIs" dxfId="59" priority="58" operator="notEqual">
      <formula>D1019+D1022</formula>
    </cfRule>
  </conditionalFormatting>
  <conditionalFormatting sqref="E1022">
    <cfRule type="cellIs" dxfId="58" priority="60" operator="notEqual">
      <formula>D1022</formula>
    </cfRule>
  </conditionalFormatting>
  <conditionalFormatting sqref="E1019">
    <cfRule type="cellIs" dxfId="57" priority="59" operator="notEqual">
      <formula>D1019</formula>
    </cfRule>
  </conditionalFormatting>
  <conditionalFormatting sqref="E1057">
    <cfRule type="cellIs" dxfId="56" priority="55" operator="notEqual">
      <formula>D1053+D1056</formula>
    </cfRule>
  </conditionalFormatting>
  <conditionalFormatting sqref="E1056">
    <cfRule type="cellIs" dxfId="55" priority="57" operator="notEqual">
      <formula>D1056</formula>
    </cfRule>
  </conditionalFormatting>
  <conditionalFormatting sqref="E1053">
    <cfRule type="cellIs" dxfId="54" priority="56" operator="notEqual">
      <formula>D1053</formula>
    </cfRule>
  </conditionalFormatting>
  <conditionalFormatting sqref="E1091">
    <cfRule type="cellIs" dxfId="53" priority="52" operator="notEqual">
      <formula>D1087+D1090</formula>
    </cfRule>
  </conditionalFormatting>
  <conditionalFormatting sqref="E1090">
    <cfRule type="cellIs" dxfId="52" priority="54" operator="notEqual">
      <formula>D1090</formula>
    </cfRule>
  </conditionalFormatting>
  <conditionalFormatting sqref="E1087">
    <cfRule type="cellIs" dxfId="51" priority="53" operator="notEqual">
      <formula>D1087</formula>
    </cfRule>
  </conditionalFormatting>
  <conditionalFormatting sqref="E1125">
    <cfRule type="cellIs" dxfId="50" priority="49" operator="notEqual">
      <formula>D1121+D1124</formula>
    </cfRule>
  </conditionalFormatting>
  <conditionalFormatting sqref="E1124">
    <cfRule type="cellIs" dxfId="49" priority="51" operator="notEqual">
      <formula>D1124</formula>
    </cfRule>
  </conditionalFormatting>
  <conditionalFormatting sqref="E1121">
    <cfRule type="cellIs" dxfId="48" priority="50" operator="notEqual">
      <formula>D1121</formula>
    </cfRule>
  </conditionalFormatting>
  <conditionalFormatting sqref="E1159">
    <cfRule type="cellIs" dxfId="47" priority="46" operator="notEqual">
      <formula>D1155+D1158</formula>
    </cfRule>
  </conditionalFormatting>
  <conditionalFormatting sqref="E1158">
    <cfRule type="cellIs" dxfId="46" priority="48" operator="notEqual">
      <formula>D1158</formula>
    </cfRule>
  </conditionalFormatting>
  <conditionalFormatting sqref="E1155">
    <cfRule type="cellIs" dxfId="45" priority="47" operator="notEqual">
      <formula>D1155</formula>
    </cfRule>
  </conditionalFormatting>
  <conditionalFormatting sqref="E1193">
    <cfRule type="cellIs" dxfId="44" priority="43" operator="notEqual">
      <formula>D1189+D1192</formula>
    </cfRule>
  </conditionalFormatting>
  <conditionalFormatting sqref="E1192">
    <cfRule type="cellIs" dxfId="43" priority="45" operator="notEqual">
      <formula>D1192</formula>
    </cfRule>
  </conditionalFormatting>
  <conditionalFormatting sqref="E1189">
    <cfRule type="cellIs" dxfId="42" priority="44" operator="notEqual">
      <formula>D1189</formula>
    </cfRule>
  </conditionalFormatting>
  <conditionalFormatting sqref="E1227">
    <cfRule type="cellIs" dxfId="41" priority="40" operator="notEqual">
      <formula>D1223+D1226</formula>
    </cfRule>
  </conditionalFormatting>
  <conditionalFormatting sqref="E1226">
    <cfRule type="cellIs" dxfId="40" priority="42" operator="notEqual">
      <formula>D1226</formula>
    </cfRule>
  </conditionalFormatting>
  <conditionalFormatting sqref="E1223">
    <cfRule type="cellIs" dxfId="39" priority="41" operator="notEqual">
      <formula>D1223</formula>
    </cfRule>
  </conditionalFormatting>
  <conditionalFormatting sqref="E1261">
    <cfRule type="cellIs" dxfId="38" priority="37" operator="notEqual">
      <formula>D1257+D1260</formula>
    </cfRule>
  </conditionalFormatting>
  <conditionalFormatting sqref="E1260">
    <cfRule type="cellIs" dxfId="37" priority="39" operator="notEqual">
      <formula>D1260</formula>
    </cfRule>
  </conditionalFormatting>
  <conditionalFormatting sqref="E1257">
    <cfRule type="cellIs" dxfId="36" priority="38" operator="notEqual">
      <formula>D1257</formula>
    </cfRule>
  </conditionalFormatting>
  <conditionalFormatting sqref="E1295">
    <cfRule type="cellIs" dxfId="35" priority="34" operator="notEqual">
      <formula>D1291+D1294</formula>
    </cfRule>
  </conditionalFormatting>
  <conditionalFormatting sqref="E1294">
    <cfRule type="cellIs" dxfId="34" priority="36" operator="notEqual">
      <formula>D1294</formula>
    </cfRule>
  </conditionalFormatting>
  <conditionalFormatting sqref="E1291">
    <cfRule type="cellIs" dxfId="33" priority="35" operator="notEqual">
      <formula>D1291</formula>
    </cfRule>
  </conditionalFormatting>
  <conditionalFormatting sqref="E1329">
    <cfRule type="cellIs" dxfId="32" priority="31" operator="notEqual">
      <formula>D1325+D1328</formula>
    </cfRule>
  </conditionalFormatting>
  <conditionalFormatting sqref="E1328">
    <cfRule type="cellIs" dxfId="31" priority="33" operator="notEqual">
      <formula>D1328</formula>
    </cfRule>
  </conditionalFormatting>
  <conditionalFormatting sqref="E1325">
    <cfRule type="cellIs" dxfId="30" priority="32" operator="notEqual">
      <formula>D1325</formula>
    </cfRule>
  </conditionalFormatting>
  <conditionalFormatting sqref="E1363">
    <cfRule type="cellIs" dxfId="29" priority="28" operator="notEqual">
      <formula>D1359+D1362</formula>
    </cfRule>
  </conditionalFormatting>
  <conditionalFormatting sqref="E1362">
    <cfRule type="cellIs" dxfId="28" priority="30" operator="notEqual">
      <formula>D1362</formula>
    </cfRule>
  </conditionalFormatting>
  <conditionalFormatting sqref="E1359">
    <cfRule type="cellIs" dxfId="27" priority="29" operator="notEqual">
      <formula>D1359</formula>
    </cfRule>
  </conditionalFormatting>
  <conditionalFormatting sqref="E1397">
    <cfRule type="cellIs" dxfId="26" priority="25" operator="notEqual">
      <formula>D1393+D1396</formula>
    </cfRule>
  </conditionalFormatting>
  <conditionalFormatting sqref="E1396">
    <cfRule type="cellIs" dxfId="25" priority="27" operator="notEqual">
      <formula>D1396</formula>
    </cfRule>
  </conditionalFormatting>
  <conditionalFormatting sqref="E1393">
    <cfRule type="cellIs" dxfId="24" priority="26" operator="notEqual">
      <formula>D1393</formula>
    </cfRule>
  </conditionalFormatting>
  <conditionalFormatting sqref="E1431">
    <cfRule type="cellIs" dxfId="23" priority="22" operator="notEqual">
      <formula>D1427+D1430</formula>
    </cfRule>
  </conditionalFormatting>
  <conditionalFormatting sqref="E1430">
    <cfRule type="cellIs" dxfId="22" priority="24" operator="notEqual">
      <formula>D1430</formula>
    </cfRule>
  </conditionalFormatting>
  <conditionalFormatting sqref="E1427">
    <cfRule type="cellIs" dxfId="21" priority="23" operator="notEqual">
      <formula>D1427</formula>
    </cfRule>
  </conditionalFormatting>
  <conditionalFormatting sqref="E1465">
    <cfRule type="cellIs" dxfId="20" priority="19" operator="notEqual">
      <formula>D1461+D1464</formula>
    </cfRule>
  </conditionalFormatting>
  <conditionalFormatting sqref="E1464">
    <cfRule type="cellIs" dxfId="19" priority="21" operator="notEqual">
      <formula>D1464</formula>
    </cfRule>
  </conditionalFormatting>
  <conditionalFormatting sqref="E1461">
    <cfRule type="cellIs" dxfId="18" priority="20" operator="notEqual">
      <formula>D1461</formula>
    </cfRule>
  </conditionalFormatting>
  <conditionalFormatting sqref="E1499">
    <cfRule type="cellIs" dxfId="17" priority="16" operator="notEqual">
      <formula>D1495+D1498</formula>
    </cfRule>
  </conditionalFormatting>
  <conditionalFormatting sqref="E1498">
    <cfRule type="cellIs" dxfId="16" priority="18" operator="notEqual">
      <formula>D1498</formula>
    </cfRule>
  </conditionalFormatting>
  <conditionalFormatting sqref="E1495">
    <cfRule type="cellIs" dxfId="15" priority="17" operator="notEqual">
      <formula>D1495</formula>
    </cfRule>
  </conditionalFormatting>
  <conditionalFormatting sqref="E1533">
    <cfRule type="cellIs" dxfId="14" priority="13" operator="notEqual">
      <formula>D1529+D1532</formula>
    </cfRule>
  </conditionalFormatting>
  <conditionalFormatting sqref="E1532">
    <cfRule type="cellIs" dxfId="13" priority="15" operator="notEqual">
      <formula>D1532</formula>
    </cfRule>
  </conditionalFormatting>
  <conditionalFormatting sqref="E1529">
    <cfRule type="cellIs" dxfId="12" priority="14" operator="notEqual">
      <formula>D1529</formula>
    </cfRule>
  </conditionalFormatting>
  <conditionalFormatting sqref="E1567">
    <cfRule type="cellIs" dxfId="11" priority="10" operator="notEqual">
      <formula>D1563+D1566</formula>
    </cfRule>
  </conditionalFormatting>
  <conditionalFormatting sqref="E1566">
    <cfRule type="cellIs" dxfId="10" priority="12" operator="notEqual">
      <formula>D1566</formula>
    </cfRule>
  </conditionalFormatting>
  <conditionalFormatting sqref="E1563">
    <cfRule type="cellIs" dxfId="9" priority="11" operator="notEqual">
      <formula>D1563</formula>
    </cfRule>
  </conditionalFormatting>
  <conditionalFormatting sqref="E1601">
    <cfRule type="cellIs" dxfId="8" priority="7" operator="notEqual">
      <formula>D1597+D1600</formula>
    </cfRule>
  </conditionalFormatting>
  <conditionalFormatting sqref="E1600">
    <cfRule type="cellIs" dxfId="7" priority="9" operator="notEqual">
      <formula>D1600</formula>
    </cfRule>
  </conditionalFormatting>
  <conditionalFormatting sqref="E1597">
    <cfRule type="cellIs" dxfId="6" priority="8" operator="notEqual">
      <formula>D1597</formula>
    </cfRule>
  </conditionalFormatting>
  <conditionalFormatting sqref="E1635">
    <cfRule type="cellIs" dxfId="5" priority="4" operator="notEqual">
      <formula>D1631+D1634</formula>
    </cfRule>
  </conditionalFormatting>
  <conditionalFormatting sqref="E1634">
    <cfRule type="cellIs" dxfId="4" priority="6" operator="notEqual">
      <formula>D1634</formula>
    </cfRule>
  </conditionalFormatting>
  <conditionalFormatting sqref="E1631">
    <cfRule type="cellIs" dxfId="3" priority="5" operator="notEqual">
      <formula>D1631</formula>
    </cfRule>
  </conditionalFormatting>
  <conditionalFormatting sqref="E1669">
    <cfRule type="cellIs" dxfId="2" priority="1" operator="notEqual">
      <formula>D1665+D1668</formula>
    </cfRule>
  </conditionalFormatting>
  <conditionalFormatting sqref="E1668">
    <cfRule type="cellIs" dxfId="1" priority="3" operator="notEqual">
      <formula>D1668</formula>
    </cfRule>
  </conditionalFormatting>
  <conditionalFormatting sqref="E1665">
    <cfRule type="cellIs" dxfId="0" priority="2" operator="notEqual">
      <formula>D1665</formula>
    </cfRule>
  </conditionalFormatting>
  <printOptions horizontalCentered="1"/>
  <pageMargins left="0.59055118110236227" right="0.19685039370078741" top="0.19685039370078741" bottom="0.36" header="0.23" footer="0.28999999999999998"/>
  <pageSetup paperSize="9" scale="97" fitToHeight="0" orientation="portrait" r:id="rId1"/>
  <headerFooter alignWithMargins="0"/>
  <rowBreaks count="48" manualBreakCount="48">
    <brk id="41" max="16383" man="1"/>
    <brk id="75" max="16383" man="1"/>
    <brk id="109" max="16383" man="1"/>
    <brk id="143" max="16383" man="1"/>
    <brk id="177" max="16383" man="1"/>
    <brk id="211" max="16383" man="1"/>
    <brk id="245" max="16383" man="1"/>
    <brk id="279" max="16383" man="1"/>
    <brk id="313" max="16383" man="1"/>
    <brk id="347" max="16383" man="1"/>
    <brk id="381" max="16383" man="1"/>
    <brk id="415" max="16383" man="1"/>
    <brk id="449" max="16383" man="1"/>
    <brk id="483" max="16383" man="1"/>
    <brk id="517" max="16383" man="1"/>
    <brk id="551" max="16383" man="1"/>
    <brk id="585" max="16383" man="1"/>
    <brk id="619" max="16383" man="1"/>
    <brk id="653" max="16383" man="1"/>
    <brk id="687" max="16383" man="1"/>
    <brk id="721" max="16383" man="1"/>
    <brk id="755" max="16383" man="1"/>
    <brk id="789" max="16383" man="1"/>
    <brk id="823" max="16383" man="1"/>
    <brk id="857" max="16383" man="1"/>
    <brk id="891" max="16383" man="1"/>
    <brk id="925" max="16383" man="1"/>
    <brk id="959" max="16383" man="1"/>
    <brk id="993" max="16383" man="1"/>
    <brk id="1027" max="16383" man="1"/>
    <brk id="1061" max="16383" man="1"/>
    <brk id="1095" max="16383" man="1"/>
    <brk id="1129" max="16383" man="1"/>
    <brk id="1163" max="16383" man="1"/>
    <brk id="1197" max="16383" man="1"/>
    <brk id="1231" max="16383" man="1"/>
    <brk id="1265" max="16383" man="1"/>
    <brk id="1299" max="16383" man="1"/>
    <brk id="1333" max="16383" man="1"/>
    <brk id="1367" max="16383" man="1"/>
    <brk id="1401" max="16383" man="1"/>
    <brk id="1435" max="16383" man="1"/>
    <brk id="1469" max="16383" man="1"/>
    <brk id="1503" max="16383" man="1"/>
    <brk id="1537" max="16383" man="1"/>
    <brk id="1571" max="16383" man="1"/>
    <brk id="1605" max="16383" man="1"/>
    <brk id="1639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8">
    <tabColor theme="2" tint="-9.9978637043366805E-2"/>
  </sheetPr>
  <dimension ref="A1:AP127"/>
  <sheetViews>
    <sheetView showGridLines="0" showZeros="0" topLeftCell="B102" zoomScale="85" zoomScaleNormal="85" workbookViewId="0">
      <selection activeCell="B1" sqref="A1:XFD101"/>
    </sheetView>
  </sheetViews>
  <sheetFormatPr defaultColWidth="9.140625" defaultRowHeight="12.75" outlineLevelCol="1"/>
  <cols>
    <col min="1" max="1" width="20.140625" style="95" bestFit="1" customWidth="1"/>
    <col min="2" max="2" width="2.7109375" style="95" customWidth="1"/>
    <col min="3" max="3" width="3.140625" style="95" bestFit="1" customWidth="1"/>
    <col min="4" max="4" width="2.5703125" style="94" customWidth="1"/>
    <col min="5" max="5" width="31.7109375" style="95" customWidth="1"/>
    <col min="6" max="6" width="16.7109375" style="95" customWidth="1"/>
    <col min="7" max="7" width="3.140625" style="98" customWidth="1"/>
    <col min="8" max="9" width="16.7109375" style="95" customWidth="1"/>
    <col min="10" max="10" width="18.42578125" style="99" customWidth="1"/>
    <col min="11" max="11" width="11.42578125" style="99" customWidth="1"/>
    <col min="12" max="12" width="9.140625" style="99" customWidth="1"/>
    <col min="13" max="13" width="4.28515625" style="99" customWidth="1"/>
    <col min="14" max="19" width="13" style="95" customWidth="1"/>
    <col min="20" max="21" width="3.140625" style="95" customWidth="1"/>
    <col min="22" max="27" width="13" style="95" customWidth="1"/>
    <col min="28" max="29" width="4.7109375" style="95" customWidth="1"/>
    <col min="30" max="30" width="12.5703125" style="95" hidden="1" customWidth="1" outlineLevel="1"/>
    <col min="31" max="34" width="12" style="95" hidden="1" customWidth="1" outlineLevel="1"/>
    <col min="35" max="36" width="4.5703125" style="95" hidden="1" customWidth="1" outlineLevel="1"/>
    <col min="37" max="41" width="12" style="95" hidden="1" customWidth="1" outlineLevel="1"/>
    <col min="42" max="42" width="9.140625" style="95" collapsed="1"/>
    <col min="43" max="16384" width="9.140625" style="95"/>
  </cols>
  <sheetData>
    <row r="1" spans="1:41" ht="17.25" hidden="1" customHeight="1" thickTop="1">
      <c r="A1" s="109" t="s">
        <v>91</v>
      </c>
      <c r="C1" s="107">
        <v>1</v>
      </c>
      <c r="E1" s="110" t="s">
        <v>106</v>
      </c>
      <c r="F1" s="110" t="s">
        <v>113</v>
      </c>
      <c r="G1" s="111">
        <v>2</v>
      </c>
      <c r="H1" s="110" t="s">
        <v>120</v>
      </c>
      <c r="I1" s="110" t="s">
        <v>165</v>
      </c>
      <c r="J1" s="111">
        <v>0</v>
      </c>
      <c r="K1" s="112">
        <v>0.01</v>
      </c>
      <c r="L1" s="112"/>
      <c r="M1" s="100"/>
      <c r="N1" s="387" t="s">
        <v>17</v>
      </c>
      <c r="O1" s="386" t="s">
        <v>18</v>
      </c>
      <c r="P1" s="386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2"/>
      <c r="AD1" s="389" t="s">
        <v>17</v>
      </c>
      <c r="AE1" s="391" t="s">
        <v>18</v>
      </c>
      <c r="AF1" s="391"/>
      <c r="AG1" s="136"/>
      <c r="AH1" s="136"/>
      <c r="AI1" s="136"/>
      <c r="AJ1" s="136"/>
      <c r="AK1" s="136"/>
      <c r="AL1" s="136"/>
      <c r="AM1" s="136"/>
      <c r="AN1" s="136"/>
      <c r="AO1" s="137"/>
    </row>
    <row r="2" spans="1:41" hidden="1">
      <c r="A2" s="109" t="s">
        <v>31</v>
      </c>
      <c r="C2" s="107">
        <v>2</v>
      </c>
      <c r="E2" s="110" t="s">
        <v>199</v>
      </c>
      <c r="F2" s="110" t="s">
        <v>113</v>
      </c>
      <c r="G2" s="111">
        <v>2</v>
      </c>
      <c r="H2" s="110" t="s">
        <v>120</v>
      </c>
      <c r="I2" s="110" t="s">
        <v>165</v>
      </c>
      <c r="J2" s="111">
        <v>0</v>
      </c>
      <c r="K2" s="112">
        <v>0.01</v>
      </c>
      <c r="L2" s="112">
        <v>0.03</v>
      </c>
      <c r="M2" s="100"/>
      <c r="N2" s="388"/>
      <c r="O2" s="117" t="s">
        <v>125</v>
      </c>
      <c r="P2" s="117" t="s">
        <v>102</v>
      </c>
      <c r="Q2" s="97"/>
      <c r="R2" s="97"/>
      <c r="S2" s="97"/>
      <c r="T2" s="97"/>
      <c r="U2" s="97"/>
      <c r="V2" s="97"/>
      <c r="W2" s="97"/>
      <c r="X2" s="97"/>
      <c r="Y2" s="97"/>
      <c r="Z2" s="97"/>
      <c r="AA2" s="163"/>
      <c r="AD2" s="390"/>
      <c r="AE2" s="117" t="s">
        <v>125</v>
      </c>
      <c r="AF2" s="117" t="s">
        <v>102</v>
      </c>
      <c r="AG2" s="97"/>
      <c r="AH2" s="97"/>
      <c r="AI2" s="97"/>
      <c r="AJ2" s="97"/>
      <c r="AK2" s="97"/>
      <c r="AL2" s="97"/>
      <c r="AM2" s="97"/>
      <c r="AN2" s="97"/>
      <c r="AO2" s="138"/>
    </row>
    <row r="3" spans="1:41" s="96" customFormat="1" hidden="1">
      <c r="A3" s="109" t="s">
        <v>56</v>
      </c>
      <c r="B3" s="95"/>
      <c r="C3" s="107">
        <v>3</v>
      </c>
      <c r="D3" s="94"/>
      <c r="E3" s="110" t="s">
        <v>164</v>
      </c>
      <c r="F3" s="110" t="s">
        <v>113</v>
      </c>
      <c r="G3" s="111">
        <v>2</v>
      </c>
      <c r="H3" s="110" t="s">
        <v>120</v>
      </c>
      <c r="I3" s="110" t="s">
        <v>165</v>
      </c>
      <c r="J3" s="111">
        <v>0</v>
      </c>
      <c r="K3" s="112">
        <v>0.01</v>
      </c>
      <c r="L3" s="112">
        <v>0.03</v>
      </c>
      <c r="M3" s="100"/>
      <c r="N3" s="164">
        <v>2000</v>
      </c>
      <c r="O3" s="118"/>
      <c r="P3" s="118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65"/>
      <c r="AD3" s="139">
        <v>2000</v>
      </c>
      <c r="AE3" s="118"/>
      <c r="AF3" s="118"/>
      <c r="AG3" s="122"/>
      <c r="AH3" s="122"/>
      <c r="AI3" s="122"/>
      <c r="AJ3" s="122"/>
      <c r="AK3" s="122"/>
      <c r="AL3" s="122"/>
      <c r="AM3" s="122"/>
      <c r="AN3" s="122"/>
      <c r="AO3" s="140"/>
    </row>
    <row r="4" spans="1:41" s="96" customFormat="1" hidden="1">
      <c r="A4" s="109" t="s">
        <v>32</v>
      </c>
      <c r="B4" s="95"/>
      <c r="C4" s="108">
        <v>4</v>
      </c>
      <c r="D4" s="94"/>
      <c r="E4" s="110" t="s">
        <v>107</v>
      </c>
      <c r="F4" s="110" t="s">
        <v>113</v>
      </c>
      <c r="G4" s="111">
        <v>2</v>
      </c>
      <c r="H4" s="110" t="s">
        <v>120</v>
      </c>
      <c r="I4" s="110" t="s">
        <v>121</v>
      </c>
      <c r="J4" s="113">
        <v>4.1000000000000002E-2</v>
      </c>
      <c r="K4" s="112">
        <v>0.01</v>
      </c>
      <c r="L4" s="112">
        <v>0.03</v>
      </c>
      <c r="M4" s="100"/>
      <c r="N4" s="164">
        <v>2001</v>
      </c>
      <c r="O4" s="118"/>
      <c r="P4" s="118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65"/>
      <c r="AD4" s="139">
        <v>2001</v>
      </c>
      <c r="AE4" s="118"/>
      <c r="AF4" s="118"/>
      <c r="AG4" s="122"/>
      <c r="AH4" s="122"/>
      <c r="AI4" s="122"/>
      <c r="AJ4" s="122"/>
      <c r="AK4" s="122"/>
      <c r="AL4" s="122"/>
      <c r="AM4" s="122"/>
      <c r="AN4" s="122"/>
      <c r="AO4" s="140"/>
    </row>
    <row r="5" spans="1:41" hidden="1">
      <c r="A5" s="109" t="s">
        <v>86</v>
      </c>
      <c r="C5" s="108">
        <v>5</v>
      </c>
      <c r="E5" s="110" t="s">
        <v>167</v>
      </c>
      <c r="F5" s="110" t="s">
        <v>113</v>
      </c>
      <c r="G5" s="111">
        <v>2</v>
      </c>
      <c r="H5" s="110" t="s">
        <v>120</v>
      </c>
      <c r="I5" s="110" t="s">
        <v>121</v>
      </c>
      <c r="J5" s="113">
        <v>4.1000000000000002E-2</v>
      </c>
      <c r="K5" s="112">
        <v>0.01</v>
      </c>
      <c r="L5" s="112">
        <v>0.03</v>
      </c>
      <c r="M5" s="100"/>
      <c r="N5" s="164">
        <v>2002</v>
      </c>
      <c r="O5" s="118"/>
      <c r="P5" s="118"/>
      <c r="Q5" s="97"/>
      <c r="R5" s="97"/>
      <c r="S5" s="97"/>
      <c r="T5" s="97"/>
      <c r="U5" s="97"/>
      <c r="V5" s="97"/>
      <c r="W5" s="97"/>
      <c r="X5" s="97"/>
      <c r="Y5" s="97"/>
      <c r="Z5" s="97"/>
      <c r="AA5" s="163"/>
      <c r="AD5" s="139">
        <v>2002</v>
      </c>
      <c r="AE5" s="118"/>
      <c r="AF5" s="118"/>
      <c r="AG5" s="97"/>
      <c r="AH5" s="97"/>
      <c r="AI5" s="97"/>
      <c r="AJ5" s="97"/>
      <c r="AK5" s="97"/>
      <c r="AL5" s="97"/>
      <c r="AM5" s="97"/>
      <c r="AN5" s="97"/>
      <c r="AO5" s="138"/>
    </row>
    <row r="6" spans="1:41" hidden="1">
      <c r="A6" s="109" t="s">
        <v>29</v>
      </c>
      <c r="C6" s="108">
        <v>6</v>
      </c>
      <c r="E6" s="110" t="s">
        <v>104</v>
      </c>
      <c r="F6" s="110" t="s">
        <v>113</v>
      </c>
      <c r="G6" s="111">
        <v>2</v>
      </c>
      <c r="H6" s="110" t="s">
        <v>120</v>
      </c>
      <c r="I6" s="110" t="s">
        <v>121</v>
      </c>
      <c r="J6" s="113">
        <f>4.1%*0.8</f>
        <v>3.2799999999999996E-2</v>
      </c>
      <c r="K6" s="112">
        <v>0.01</v>
      </c>
      <c r="L6" s="112">
        <v>0.03</v>
      </c>
      <c r="M6" s="100"/>
      <c r="N6" s="164">
        <v>2003</v>
      </c>
      <c r="O6" s="118">
        <v>0.14940000000000001</v>
      </c>
      <c r="P6" s="118"/>
      <c r="Q6" s="97"/>
      <c r="R6" s="97"/>
      <c r="S6" s="97"/>
      <c r="T6" s="97"/>
      <c r="U6" s="97"/>
      <c r="V6" s="97"/>
      <c r="W6" s="97"/>
      <c r="X6" s="97"/>
      <c r="Y6" s="97"/>
      <c r="Z6" s="97"/>
      <c r="AA6" s="163"/>
      <c r="AD6" s="139">
        <v>2003</v>
      </c>
      <c r="AE6" s="118">
        <v>0.14940000000000001</v>
      </c>
      <c r="AF6" s="118"/>
      <c r="AG6" s="97"/>
      <c r="AH6" s="97"/>
      <c r="AI6" s="97"/>
      <c r="AJ6" s="97"/>
      <c r="AK6" s="97"/>
      <c r="AL6" s="97"/>
      <c r="AM6" s="97"/>
      <c r="AN6" s="97"/>
      <c r="AO6" s="138"/>
    </row>
    <row r="7" spans="1:41" hidden="1">
      <c r="A7" s="109" t="s">
        <v>25</v>
      </c>
      <c r="C7" s="108">
        <v>7</v>
      </c>
      <c r="E7" s="110" t="s">
        <v>166</v>
      </c>
      <c r="F7" s="110" t="s">
        <v>113</v>
      </c>
      <c r="G7" s="111">
        <v>2</v>
      </c>
      <c r="H7" s="110" t="s">
        <v>120</v>
      </c>
      <c r="I7" s="110" t="s">
        <v>121</v>
      </c>
      <c r="J7" s="113">
        <f>4.1%*0.8</f>
        <v>3.2799999999999996E-2</v>
      </c>
      <c r="K7" s="112">
        <v>0.01</v>
      </c>
      <c r="L7" s="112">
        <v>0.03</v>
      </c>
      <c r="M7" s="100"/>
      <c r="N7" s="164">
        <v>2004</v>
      </c>
      <c r="O7" s="118">
        <v>0.158</v>
      </c>
      <c r="P7" s="118"/>
      <c r="Q7" s="97"/>
      <c r="R7" s="97"/>
      <c r="S7" s="97"/>
      <c r="T7" s="97"/>
      <c r="U7" s="97"/>
      <c r="V7" s="97"/>
      <c r="W7" s="97"/>
      <c r="X7" s="97"/>
      <c r="Y7" s="97"/>
      <c r="Z7" s="97"/>
      <c r="AA7" s="163"/>
      <c r="AD7" s="139">
        <v>2004</v>
      </c>
      <c r="AE7" s="118">
        <v>0.158</v>
      </c>
      <c r="AF7" s="118"/>
      <c r="AG7" s="97"/>
      <c r="AH7" s="97"/>
      <c r="AI7" s="97"/>
      <c r="AJ7" s="97"/>
      <c r="AK7" s="97"/>
      <c r="AL7" s="97"/>
      <c r="AM7" s="97"/>
      <c r="AN7" s="97"/>
      <c r="AO7" s="138"/>
    </row>
    <row r="8" spans="1:41" hidden="1">
      <c r="A8" s="109" t="s">
        <v>53</v>
      </c>
      <c r="C8" s="108">
        <v>8</v>
      </c>
      <c r="E8" s="110" t="s">
        <v>161</v>
      </c>
      <c r="F8" s="110" t="s">
        <v>113</v>
      </c>
      <c r="G8" s="111">
        <v>2</v>
      </c>
      <c r="H8" s="110" t="s">
        <v>120</v>
      </c>
      <c r="I8" s="110" t="s">
        <v>121</v>
      </c>
      <c r="J8" s="113">
        <f>4.1%*0.8</f>
        <v>3.2799999999999996E-2</v>
      </c>
      <c r="K8" s="112">
        <v>0.01</v>
      </c>
      <c r="L8" s="112">
        <v>0.03</v>
      </c>
      <c r="M8" s="100"/>
      <c r="N8" s="164">
        <v>2005</v>
      </c>
      <c r="O8" s="118">
        <v>0.13289999999999999</v>
      </c>
      <c r="P8" s="118">
        <v>0.127</v>
      </c>
      <c r="Q8" s="97"/>
      <c r="R8" s="97"/>
      <c r="S8" s="97"/>
      <c r="T8" s="97"/>
      <c r="U8" s="97"/>
      <c r="V8" s="97"/>
      <c r="W8" s="97"/>
      <c r="X8" s="97"/>
      <c r="Y8" s="97"/>
      <c r="Z8" s="97"/>
      <c r="AA8" s="163"/>
      <c r="AD8" s="139">
        <v>2005</v>
      </c>
      <c r="AE8" s="118">
        <v>0.13289999999999999</v>
      </c>
      <c r="AF8" s="118">
        <v>0.127</v>
      </c>
      <c r="AG8" s="97"/>
      <c r="AH8" s="97"/>
      <c r="AI8" s="97"/>
      <c r="AJ8" s="97"/>
      <c r="AK8" s="97"/>
      <c r="AL8" s="97"/>
      <c r="AM8" s="97"/>
      <c r="AN8" s="97"/>
      <c r="AO8" s="138"/>
    </row>
    <row r="9" spans="1:41" ht="18.75" hidden="1">
      <c r="A9" s="109" t="s">
        <v>9</v>
      </c>
      <c r="C9" s="108">
        <v>9</v>
      </c>
      <c r="E9" s="110" t="s">
        <v>193</v>
      </c>
      <c r="F9" s="110" t="s">
        <v>113</v>
      </c>
      <c r="G9" s="111">
        <v>2</v>
      </c>
      <c r="H9" s="110" t="s">
        <v>120</v>
      </c>
      <c r="I9" s="110" t="s">
        <v>121</v>
      </c>
      <c r="J9" s="113">
        <f>4.1%*0.8</f>
        <v>3.2799999999999996E-2</v>
      </c>
      <c r="K9" s="112">
        <v>0.01</v>
      </c>
      <c r="L9" s="112">
        <v>0.03</v>
      </c>
      <c r="M9" s="100"/>
      <c r="N9" s="164">
        <v>2006</v>
      </c>
      <c r="O9" s="118">
        <v>0.1120000000000001</v>
      </c>
      <c r="P9" s="118">
        <v>9.6999999999999975E-2</v>
      </c>
      <c r="Q9" s="97"/>
      <c r="R9" s="135" t="s">
        <v>280</v>
      </c>
      <c r="S9" s="135"/>
      <c r="T9" s="97"/>
      <c r="U9" s="97"/>
      <c r="V9" s="97"/>
      <c r="W9" s="97"/>
      <c r="X9" s="97"/>
      <c r="Y9" s="97"/>
      <c r="Z9" s="97"/>
      <c r="AA9" s="163"/>
      <c r="AD9" s="139">
        <v>2006</v>
      </c>
      <c r="AE9" s="118">
        <v>0.122</v>
      </c>
      <c r="AF9" s="118">
        <v>9.7000000000000003E-2</v>
      </c>
      <c r="AG9" s="97"/>
      <c r="AH9" s="123" t="s">
        <v>228</v>
      </c>
      <c r="AI9" s="97"/>
      <c r="AJ9" s="97"/>
      <c r="AK9" s="97"/>
      <c r="AL9" s="97"/>
      <c r="AM9" s="97"/>
      <c r="AN9" s="97"/>
      <c r="AO9" s="138"/>
    </row>
    <row r="10" spans="1:41" hidden="1">
      <c r="A10" s="109" t="s">
        <v>33</v>
      </c>
      <c r="C10" s="108">
        <v>10</v>
      </c>
      <c r="E10" s="110" t="s">
        <v>160</v>
      </c>
      <c r="F10" s="110" t="s">
        <v>113</v>
      </c>
      <c r="G10" s="111">
        <v>2</v>
      </c>
      <c r="H10" s="110" t="s">
        <v>120</v>
      </c>
      <c r="I10" s="110" t="s">
        <v>121</v>
      </c>
      <c r="J10" s="113">
        <f>4.1%*0.8</f>
        <v>3.2799999999999996E-2</v>
      </c>
      <c r="K10" s="112">
        <v>0.01</v>
      </c>
      <c r="L10" s="112">
        <v>0.03</v>
      </c>
      <c r="M10" s="100"/>
      <c r="N10" s="164">
        <v>2007</v>
      </c>
      <c r="O10" s="118">
        <v>0.14700000000000002</v>
      </c>
      <c r="P10" s="118">
        <v>0.09</v>
      </c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163"/>
      <c r="AD10" s="139">
        <v>2007</v>
      </c>
      <c r="AE10" s="118">
        <v>0.157</v>
      </c>
      <c r="AF10" s="118">
        <v>8.1000000000000003E-2</v>
      </c>
      <c r="AG10" s="97"/>
      <c r="AH10" s="97"/>
      <c r="AI10" s="97"/>
      <c r="AJ10" s="97"/>
      <c r="AK10" s="97"/>
      <c r="AL10" s="97"/>
      <c r="AM10" s="97"/>
      <c r="AN10" s="97"/>
      <c r="AO10" s="138"/>
    </row>
    <row r="11" spans="1:41" hidden="1">
      <c r="A11" s="109" t="s">
        <v>90</v>
      </c>
      <c r="C11" s="108">
        <v>11</v>
      </c>
      <c r="E11" s="110" t="s">
        <v>194</v>
      </c>
      <c r="F11" s="110" t="s">
        <v>113</v>
      </c>
      <c r="G11" s="111">
        <v>2</v>
      </c>
      <c r="H11" s="110" t="s">
        <v>120</v>
      </c>
      <c r="I11" s="110" t="s">
        <v>121</v>
      </c>
      <c r="J11" s="113">
        <f>2.5%*0.8</f>
        <v>2.0000000000000004E-2</v>
      </c>
      <c r="K11" s="112">
        <v>0.01</v>
      </c>
      <c r="L11" s="112">
        <v>0.03</v>
      </c>
      <c r="M11" s="100"/>
      <c r="N11" s="164">
        <v>2008</v>
      </c>
      <c r="O11" s="118">
        <v>0.19399999999999995</v>
      </c>
      <c r="P11" s="118">
        <v>0.14100000000000001</v>
      </c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163"/>
      <c r="AD11" s="139">
        <v>2008</v>
      </c>
      <c r="AE11" s="118">
        <v>0.185</v>
      </c>
      <c r="AF11" s="118">
        <v>0.14099999999999999</v>
      </c>
      <c r="AG11" s="97"/>
      <c r="AH11" s="97"/>
      <c r="AI11" s="97"/>
      <c r="AJ11" s="97"/>
      <c r="AK11" s="97"/>
      <c r="AL11" s="97"/>
      <c r="AM11" s="97"/>
      <c r="AN11" s="97"/>
      <c r="AO11" s="138"/>
    </row>
    <row r="12" spans="1:41" hidden="1">
      <c r="A12" s="109" t="s">
        <v>80</v>
      </c>
      <c r="C12" s="108">
        <v>12</v>
      </c>
      <c r="E12" s="110" t="s">
        <v>105</v>
      </c>
      <c r="F12" s="110" t="s">
        <v>113</v>
      </c>
      <c r="G12" s="111">
        <v>2</v>
      </c>
      <c r="H12" s="110" t="s">
        <v>120</v>
      </c>
      <c r="I12" s="110" t="s">
        <v>121</v>
      </c>
      <c r="J12" s="111">
        <v>0</v>
      </c>
      <c r="K12" s="112">
        <v>0.01</v>
      </c>
      <c r="L12" s="112"/>
      <c r="M12" s="100"/>
      <c r="N12" s="164">
        <v>2009</v>
      </c>
      <c r="O12" s="118">
        <v>0.05</v>
      </c>
      <c r="P12" s="118">
        <v>0.11700000000000001</v>
      </c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163"/>
      <c r="AD12" s="139">
        <v>2009</v>
      </c>
      <c r="AE12" s="118">
        <v>7.6999999999999999E-2</v>
      </c>
      <c r="AF12" s="118">
        <v>0.11700000000000001</v>
      </c>
      <c r="AG12" s="97"/>
      <c r="AH12" s="97"/>
      <c r="AI12" s="97"/>
      <c r="AJ12" s="97"/>
      <c r="AK12" s="97"/>
      <c r="AL12" s="97"/>
      <c r="AM12" s="97"/>
      <c r="AN12" s="97"/>
      <c r="AO12" s="138"/>
    </row>
    <row r="13" spans="1:41" hidden="1">
      <c r="A13" s="109" t="s">
        <v>47</v>
      </c>
      <c r="E13" s="110" t="s">
        <v>154</v>
      </c>
      <c r="F13" s="110" t="s">
        <v>113</v>
      </c>
      <c r="G13" s="111">
        <v>2</v>
      </c>
      <c r="H13" s="110" t="s">
        <v>120</v>
      </c>
      <c r="I13" s="110" t="s">
        <v>121</v>
      </c>
      <c r="J13" s="113">
        <f>4.1%*0.8</f>
        <v>3.2799999999999996E-2</v>
      </c>
      <c r="K13" s="112">
        <v>0.01</v>
      </c>
      <c r="L13" s="112">
        <v>0.03</v>
      </c>
      <c r="M13" s="100"/>
      <c r="N13" s="164">
        <v>2010</v>
      </c>
      <c r="O13" s="118">
        <v>0.08</v>
      </c>
      <c r="P13" s="118">
        <v>6.9000000000000006E-2</v>
      </c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163"/>
      <c r="AD13" s="139">
        <v>2010</v>
      </c>
      <c r="AE13" s="118">
        <v>7.9000000000000001E-2</v>
      </c>
      <c r="AF13" s="118">
        <v>6.9000000000000006E-2</v>
      </c>
      <c r="AG13" s="97"/>
      <c r="AH13" s="97"/>
      <c r="AI13" s="97"/>
      <c r="AJ13" s="97"/>
      <c r="AK13" s="97"/>
      <c r="AL13" s="97"/>
      <c r="AM13" s="97"/>
      <c r="AN13" s="97"/>
      <c r="AO13" s="138"/>
    </row>
    <row r="14" spans="1:41" hidden="1">
      <c r="A14" s="109" t="s">
        <v>2</v>
      </c>
      <c r="E14" s="110" t="s">
        <v>157</v>
      </c>
      <c r="F14" s="110" t="s">
        <v>113</v>
      </c>
      <c r="G14" s="111">
        <v>2</v>
      </c>
      <c r="H14" s="110" t="s">
        <v>120</v>
      </c>
      <c r="I14" s="110" t="s">
        <v>165</v>
      </c>
      <c r="J14" s="111">
        <v>0</v>
      </c>
      <c r="K14" s="112">
        <v>0.01</v>
      </c>
      <c r="L14" s="112"/>
      <c r="M14" s="100"/>
      <c r="N14" s="164">
        <v>2011</v>
      </c>
      <c r="O14" s="118">
        <v>8.7999999999999995E-2</v>
      </c>
      <c r="P14" s="118">
        <v>8.4000000000000005E-2</v>
      </c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163"/>
      <c r="AD14" s="139">
        <v>2011</v>
      </c>
      <c r="AE14" s="118">
        <v>8.7999999999999995E-2</v>
      </c>
      <c r="AF14" s="118">
        <v>8.4000000000000005E-2</v>
      </c>
      <c r="AG14" s="97"/>
      <c r="AH14" s="97"/>
      <c r="AI14" s="97"/>
      <c r="AJ14" s="97"/>
      <c r="AK14" s="97"/>
      <c r="AL14" s="97"/>
      <c r="AM14" s="97"/>
      <c r="AN14" s="97"/>
      <c r="AO14" s="138"/>
    </row>
    <row r="15" spans="1:41" hidden="1">
      <c r="A15" s="109" t="s">
        <v>19</v>
      </c>
      <c r="E15" s="110" t="s">
        <v>156</v>
      </c>
      <c r="F15" s="110" t="s">
        <v>113</v>
      </c>
      <c r="G15" s="111">
        <v>2</v>
      </c>
      <c r="H15" s="110" t="s">
        <v>120</v>
      </c>
      <c r="I15" s="110" t="s">
        <v>165</v>
      </c>
      <c r="J15" s="111">
        <v>0</v>
      </c>
      <c r="K15" s="112">
        <v>0.01</v>
      </c>
      <c r="L15" s="112"/>
      <c r="M15" s="100"/>
      <c r="N15" s="164">
        <v>2012</v>
      </c>
      <c r="O15" s="118">
        <v>6.8000000000000005E-2</v>
      </c>
      <c r="P15" s="118">
        <v>5.0999999999999997E-2</v>
      </c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163"/>
      <c r="AD15" s="139">
        <v>2012</v>
      </c>
      <c r="AE15" s="118">
        <v>6.8000000000000005E-2</v>
      </c>
      <c r="AF15" s="118">
        <v>5.0999999999999997E-2</v>
      </c>
      <c r="AG15" s="97"/>
      <c r="AH15" s="97"/>
      <c r="AI15" s="97"/>
      <c r="AJ15" s="97"/>
      <c r="AK15" s="97"/>
      <c r="AL15" s="97"/>
      <c r="AM15" s="97"/>
      <c r="AN15" s="97"/>
      <c r="AO15" s="138"/>
    </row>
    <row r="16" spans="1:41" hidden="1">
      <c r="A16" s="109" t="s">
        <v>37</v>
      </c>
      <c r="E16" s="110" t="s">
        <v>153</v>
      </c>
      <c r="F16" s="110" t="s">
        <v>126</v>
      </c>
      <c r="G16" s="111">
        <v>1</v>
      </c>
      <c r="H16" s="110" t="s">
        <v>124</v>
      </c>
      <c r="I16" s="110" t="s">
        <v>227</v>
      </c>
      <c r="J16" s="111">
        <v>0</v>
      </c>
      <c r="K16" s="114">
        <v>2.5000000000000001E-2</v>
      </c>
      <c r="L16" s="112">
        <v>0.03</v>
      </c>
      <c r="M16" s="100"/>
      <c r="N16" s="164">
        <v>2013</v>
      </c>
      <c r="O16" s="118">
        <v>0.06</v>
      </c>
      <c r="P16" s="118">
        <v>6.8000000000000005E-2</v>
      </c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163"/>
      <c r="AD16" s="139">
        <v>2013</v>
      </c>
      <c r="AE16" s="118">
        <v>0.06</v>
      </c>
      <c r="AF16" s="118">
        <v>6.8000000000000005E-2</v>
      </c>
      <c r="AG16" s="97"/>
      <c r="AH16" s="97"/>
      <c r="AI16" s="97"/>
      <c r="AJ16" s="97"/>
      <c r="AK16" s="97"/>
      <c r="AL16" s="97"/>
      <c r="AM16" s="97"/>
      <c r="AN16" s="97"/>
      <c r="AO16" s="138"/>
    </row>
    <row r="17" spans="1:41" hidden="1">
      <c r="A17" s="109" t="s">
        <v>57</v>
      </c>
      <c r="E17" s="110" t="s">
        <v>102</v>
      </c>
      <c r="F17" s="110" t="s">
        <v>126</v>
      </c>
      <c r="G17" s="111">
        <v>1</v>
      </c>
      <c r="H17" s="110" t="s">
        <v>124</v>
      </c>
      <c r="I17" s="110" t="s">
        <v>227</v>
      </c>
      <c r="J17" s="111">
        <v>0</v>
      </c>
      <c r="K17" s="114">
        <v>2.5000000000000001E-2</v>
      </c>
      <c r="L17" s="112">
        <v>0.03</v>
      </c>
      <c r="M17" s="100"/>
      <c r="N17" s="164">
        <v>2014</v>
      </c>
      <c r="O17" s="118">
        <v>4.9000000000000002E-2</v>
      </c>
      <c r="P17" s="118">
        <v>7.8E-2</v>
      </c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163"/>
      <c r="AD17" s="139">
        <v>2014</v>
      </c>
      <c r="AE17" s="118">
        <v>3.3000000000000002E-2</v>
      </c>
      <c r="AF17" s="118">
        <v>7.8E-2</v>
      </c>
      <c r="AG17" s="97"/>
      <c r="AH17" s="97"/>
      <c r="AI17" s="97"/>
      <c r="AJ17" s="97"/>
      <c r="AK17" s="97"/>
      <c r="AL17" s="97"/>
      <c r="AM17" s="97"/>
      <c r="AN17" s="97"/>
      <c r="AO17" s="138"/>
    </row>
    <row r="18" spans="1:41" hidden="1">
      <c r="A18" s="109" t="s">
        <v>95</v>
      </c>
      <c r="E18" s="110" t="s">
        <v>152</v>
      </c>
      <c r="F18" s="110" t="s">
        <v>126</v>
      </c>
      <c r="G18" s="111">
        <v>1</v>
      </c>
      <c r="H18" s="110" t="s">
        <v>124</v>
      </c>
      <c r="I18" s="110" t="s">
        <v>227</v>
      </c>
      <c r="J18" s="111">
        <v>0</v>
      </c>
      <c r="K18" s="114">
        <v>2.5000000000000001E-2</v>
      </c>
      <c r="L18" s="112">
        <v>0.03</v>
      </c>
      <c r="M18" s="100"/>
      <c r="N18" s="164">
        <v>2015</v>
      </c>
      <c r="O18" s="118">
        <v>0.14299999999999999</v>
      </c>
      <c r="P18" s="118">
        <v>0.155</v>
      </c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163"/>
      <c r="AD18" s="139">
        <v>2015</v>
      </c>
      <c r="AE18" s="118">
        <v>0.10100000000000001</v>
      </c>
      <c r="AF18" s="118">
        <v>0.157</v>
      </c>
      <c r="AG18" s="97"/>
      <c r="AH18" s="97"/>
      <c r="AI18" s="97"/>
      <c r="AJ18" s="97"/>
      <c r="AK18" s="97"/>
      <c r="AL18" s="97"/>
      <c r="AM18" s="97"/>
      <c r="AN18" s="97"/>
      <c r="AO18" s="138"/>
    </row>
    <row r="19" spans="1:41" hidden="1">
      <c r="A19" s="109" t="s">
        <v>72</v>
      </c>
      <c r="E19" s="110" t="s">
        <v>155</v>
      </c>
      <c r="F19" s="110" t="s">
        <v>113</v>
      </c>
      <c r="G19" s="111">
        <v>2</v>
      </c>
      <c r="H19" s="110" t="s">
        <v>120</v>
      </c>
      <c r="I19" s="110" t="s">
        <v>165</v>
      </c>
      <c r="J19" s="111">
        <v>0</v>
      </c>
      <c r="K19" s="112">
        <v>0.01</v>
      </c>
      <c r="L19" s="112"/>
      <c r="M19" s="100"/>
      <c r="N19" s="164">
        <v>2016</v>
      </c>
      <c r="O19" s="118">
        <v>6.3E-2</v>
      </c>
      <c r="P19" s="118">
        <v>7.0999999999999994E-2</v>
      </c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163"/>
      <c r="AD19" s="139">
        <v>2016</v>
      </c>
      <c r="AE19" s="118">
        <v>7.2999999999999995E-2</v>
      </c>
      <c r="AF19" s="118">
        <v>7.0000000000000007E-2</v>
      </c>
      <c r="AG19" s="97"/>
      <c r="AH19" s="97"/>
      <c r="AI19" s="97"/>
      <c r="AJ19" s="97"/>
      <c r="AK19" s="97"/>
      <c r="AL19" s="97"/>
      <c r="AM19" s="97"/>
      <c r="AN19" s="97"/>
      <c r="AO19" s="138"/>
    </row>
    <row r="20" spans="1:41" hidden="1">
      <c r="A20" s="109" t="s">
        <v>38</v>
      </c>
      <c r="E20" s="110" t="s">
        <v>159</v>
      </c>
      <c r="F20" s="110" t="s">
        <v>113</v>
      </c>
      <c r="G20" s="111">
        <v>2</v>
      </c>
      <c r="H20" s="110" t="s">
        <v>120</v>
      </c>
      <c r="I20" s="110" t="s">
        <v>165</v>
      </c>
      <c r="J20" s="111">
        <v>0</v>
      </c>
      <c r="K20" s="112">
        <v>0.01</v>
      </c>
      <c r="L20" s="112"/>
      <c r="M20" s="100"/>
      <c r="N20" s="164">
        <v>2017</v>
      </c>
      <c r="O20" s="118">
        <v>4.3999999999999997E-2</v>
      </c>
      <c r="P20" s="118">
        <v>3.9E-2</v>
      </c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163"/>
      <c r="AD20" s="139">
        <v>2017</v>
      </c>
      <c r="AE20" s="118">
        <v>6.5000000000000002E-2</v>
      </c>
      <c r="AF20" s="118">
        <v>6.5000000000000002E-2</v>
      </c>
      <c r="AG20" s="97"/>
      <c r="AH20" s="97"/>
      <c r="AI20" s="97"/>
      <c r="AJ20" s="97"/>
      <c r="AK20" s="97"/>
      <c r="AL20" s="97"/>
      <c r="AM20" s="97"/>
      <c r="AN20" s="97"/>
      <c r="AO20" s="138"/>
    </row>
    <row r="21" spans="1:41" hidden="1">
      <c r="A21" s="109" t="s">
        <v>27</v>
      </c>
      <c r="E21" s="110" t="s">
        <v>198</v>
      </c>
      <c r="F21" s="110" t="s">
        <v>113</v>
      </c>
      <c r="G21" s="111">
        <v>2</v>
      </c>
      <c r="H21" s="110" t="s">
        <v>120</v>
      </c>
      <c r="I21" s="110" t="s">
        <v>121</v>
      </c>
      <c r="J21" s="113">
        <f>1.5%*0.8</f>
        <v>1.2E-2</v>
      </c>
      <c r="K21" s="112">
        <v>0.01</v>
      </c>
      <c r="L21" s="112">
        <v>0.03</v>
      </c>
      <c r="M21" s="100"/>
      <c r="N21" s="164">
        <v>2018</v>
      </c>
      <c r="O21" s="118">
        <v>4.5999999999999999E-2</v>
      </c>
      <c r="P21" s="121">
        <v>3.6999999999999998E-2</v>
      </c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163"/>
      <c r="AD21" s="139">
        <v>2018</v>
      </c>
      <c r="AE21" s="118">
        <v>6.2E-2</v>
      </c>
      <c r="AF21" s="119"/>
      <c r="AG21" s="97"/>
      <c r="AH21" s="97"/>
      <c r="AI21" s="97"/>
      <c r="AJ21" s="97"/>
      <c r="AK21" s="97"/>
      <c r="AL21" s="97"/>
      <c r="AM21" s="97"/>
      <c r="AN21" s="97"/>
      <c r="AO21" s="138"/>
    </row>
    <row r="22" spans="1:41" hidden="1">
      <c r="A22" s="109" t="s">
        <v>39</v>
      </c>
      <c r="E22" s="110"/>
      <c r="F22" s="110"/>
      <c r="G22" s="111"/>
      <c r="H22" s="115"/>
      <c r="I22" s="116"/>
      <c r="J22" s="111">
        <v>0</v>
      </c>
      <c r="K22" s="112"/>
      <c r="L22" s="112"/>
      <c r="M22" s="100"/>
      <c r="N22" s="164">
        <v>2019</v>
      </c>
      <c r="O22" s="118">
        <v>4.3999999999999997E-2</v>
      </c>
      <c r="P22" s="121">
        <v>0.04</v>
      </c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163"/>
      <c r="AB22" s="97"/>
      <c r="AD22" s="141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138"/>
    </row>
    <row r="23" spans="1:41" hidden="1">
      <c r="A23" s="109" t="s">
        <v>65</v>
      </c>
      <c r="N23" s="164">
        <v>2020</v>
      </c>
      <c r="O23" s="118">
        <v>4.2000000000000003E-2</v>
      </c>
      <c r="P23" s="121">
        <v>0.04</v>
      </c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163"/>
      <c r="AB23" s="97"/>
      <c r="AD23" s="141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138"/>
    </row>
    <row r="24" spans="1:41" hidden="1">
      <c r="A24" s="109" t="s">
        <v>68</v>
      </c>
      <c r="N24" s="166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163"/>
      <c r="AD24" s="141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138"/>
    </row>
    <row r="25" spans="1:41" hidden="1">
      <c r="A25" s="109" t="s">
        <v>13</v>
      </c>
      <c r="N25" s="166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163"/>
      <c r="AD25" s="141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138"/>
    </row>
    <row r="26" spans="1:41" hidden="1">
      <c r="A26" s="109" t="s">
        <v>20</v>
      </c>
      <c r="N26" s="166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163"/>
      <c r="AD26" s="141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138"/>
    </row>
    <row r="27" spans="1:41" hidden="1">
      <c r="A27" s="109" t="s">
        <v>77</v>
      </c>
      <c r="N27" s="166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163"/>
      <c r="AD27" s="141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138"/>
    </row>
    <row r="28" spans="1:41" hidden="1">
      <c r="A28" s="109" t="s">
        <v>28</v>
      </c>
      <c r="N28" s="166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163"/>
      <c r="AD28" s="141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138"/>
    </row>
    <row r="29" spans="1:41" hidden="1">
      <c r="A29" s="109" t="s">
        <v>55</v>
      </c>
      <c r="N29" s="166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163"/>
      <c r="AD29" s="141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138"/>
    </row>
    <row r="30" spans="1:41" hidden="1">
      <c r="A30" s="109" t="s">
        <v>34</v>
      </c>
      <c r="N30" s="166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163"/>
      <c r="AD30" s="141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138"/>
    </row>
    <row r="31" spans="1:41" hidden="1">
      <c r="A31" s="109" t="s">
        <v>74</v>
      </c>
      <c r="N31" s="166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163"/>
      <c r="AD31" s="141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138"/>
    </row>
    <row r="32" spans="1:41" hidden="1">
      <c r="A32" s="109" t="s">
        <v>73</v>
      </c>
      <c r="N32" s="166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163"/>
      <c r="AD32" s="141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138"/>
    </row>
    <row r="33" spans="1:41" hidden="1">
      <c r="A33" s="109" t="s">
        <v>60</v>
      </c>
      <c r="N33" s="166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163"/>
      <c r="AD33" s="141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138"/>
    </row>
    <row r="34" spans="1:41" hidden="1">
      <c r="A34" s="109" t="s">
        <v>1</v>
      </c>
      <c r="N34" s="166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163"/>
      <c r="AD34" s="141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138"/>
    </row>
    <row r="35" spans="1:41" hidden="1">
      <c r="A35" s="109" t="s">
        <v>43</v>
      </c>
      <c r="N35" s="166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163"/>
      <c r="AD35" s="141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138"/>
    </row>
    <row r="36" spans="1:41" hidden="1">
      <c r="A36" s="109" t="s">
        <v>76</v>
      </c>
      <c r="N36" s="166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163"/>
      <c r="AD36" s="141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138"/>
    </row>
    <row r="37" spans="1:41" hidden="1">
      <c r="A37" s="109" t="s">
        <v>36</v>
      </c>
      <c r="N37" s="166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163"/>
      <c r="AD37" s="141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138"/>
    </row>
    <row r="38" spans="1:41" hidden="1">
      <c r="A38" s="109" t="s">
        <v>14</v>
      </c>
      <c r="N38" s="166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163"/>
      <c r="AD38" s="141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138"/>
    </row>
    <row r="39" spans="1:41" hidden="1">
      <c r="A39" s="109" t="s">
        <v>87</v>
      </c>
      <c r="E39" s="95" t="e">
        <f>#REF!</f>
        <v>#REF!</v>
      </c>
      <c r="N39" s="166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163"/>
      <c r="AD39" s="141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138"/>
    </row>
    <row r="40" spans="1:41" hidden="1">
      <c r="A40" s="109" t="s">
        <v>75</v>
      </c>
      <c r="E40" s="95" t="e">
        <f>#REF!</f>
        <v>#REF!</v>
      </c>
      <c r="N40" s="166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163"/>
      <c r="AD40" s="141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138"/>
    </row>
    <row r="41" spans="1:41" hidden="1">
      <c r="A41" s="109" t="s">
        <v>96</v>
      </c>
      <c r="E41" s="95" t="e">
        <f>#REF!</f>
        <v>#REF!</v>
      </c>
      <c r="N41" s="166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163"/>
      <c r="AD41" s="141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138"/>
    </row>
    <row r="42" spans="1:41" hidden="1">
      <c r="A42" s="109" t="s">
        <v>11</v>
      </c>
      <c r="E42" s="95" t="e">
        <f>#REF!</f>
        <v>#REF!</v>
      </c>
      <c r="N42" s="166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163"/>
      <c r="AD42" s="141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138"/>
    </row>
    <row r="43" spans="1:41" hidden="1">
      <c r="A43" s="109" t="s">
        <v>15</v>
      </c>
      <c r="E43" s="95" t="e">
        <f>#REF!</f>
        <v>#REF!</v>
      </c>
      <c r="N43" s="166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163"/>
      <c r="AD43" s="141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138"/>
    </row>
    <row r="44" spans="1:41" hidden="1">
      <c r="A44" s="109" t="s">
        <v>16</v>
      </c>
      <c r="E44" s="95" t="e">
        <f>#REF!</f>
        <v>#REF!</v>
      </c>
      <c r="N44" s="166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163"/>
      <c r="AD44" s="141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138"/>
    </row>
    <row r="45" spans="1:41" hidden="1">
      <c r="A45" s="109" t="s">
        <v>35</v>
      </c>
      <c r="E45" s="95" t="e">
        <f>#REF!</f>
        <v>#REF!</v>
      </c>
      <c r="N45" s="166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163"/>
      <c r="AD45" s="141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138"/>
    </row>
    <row r="46" spans="1:41" hidden="1">
      <c r="A46" s="109" t="s">
        <v>58</v>
      </c>
      <c r="E46" s="95" t="e">
        <f>#REF!</f>
        <v>#REF!</v>
      </c>
      <c r="N46" s="166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163"/>
      <c r="AD46" s="141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138"/>
    </row>
    <row r="47" spans="1:41" hidden="1">
      <c r="N47" s="166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163"/>
      <c r="AD47" s="141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138"/>
    </row>
    <row r="48" spans="1:41" hidden="1">
      <c r="N48" s="166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163"/>
      <c r="AD48" s="141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138"/>
    </row>
    <row r="49" spans="1:41" ht="18.75" hidden="1" customHeight="1">
      <c r="N49" s="167" t="s">
        <v>229</v>
      </c>
      <c r="O49" s="97"/>
      <c r="P49" s="97"/>
      <c r="Q49" s="97"/>
      <c r="R49" s="97"/>
      <c r="S49" s="97"/>
      <c r="T49" s="163"/>
      <c r="U49" s="166"/>
      <c r="V49" s="159" t="s">
        <v>230</v>
      </c>
      <c r="W49" s="97"/>
      <c r="X49" s="97"/>
      <c r="Y49" s="97"/>
      <c r="Z49" s="97"/>
      <c r="AA49" s="163"/>
      <c r="AD49" s="160" t="s">
        <v>229</v>
      </c>
      <c r="AE49" s="97"/>
      <c r="AF49" s="97"/>
      <c r="AG49" s="97"/>
      <c r="AH49" s="97"/>
      <c r="AI49" s="138"/>
      <c r="AJ49" s="141"/>
      <c r="AK49" s="159" t="s">
        <v>230</v>
      </c>
      <c r="AL49" s="97"/>
      <c r="AM49" s="97"/>
      <c r="AN49" s="97"/>
      <c r="AO49" s="138"/>
    </row>
    <row r="50" spans="1:41" hidden="1">
      <c r="N50" s="166"/>
      <c r="O50" s="97"/>
      <c r="P50" s="97"/>
      <c r="Q50" s="97"/>
      <c r="R50" s="97"/>
      <c r="S50" s="97"/>
      <c r="T50" s="163"/>
      <c r="U50" s="166"/>
      <c r="V50" s="97"/>
      <c r="W50" s="97"/>
      <c r="X50" s="97"/>
      <c r="Y50" s="97"/>
      <c r="Z50" s="97"/>
      <c r="AA50" s="163"/>
      <c r="AD50" s="141"/>
      <c r="AE50" s="97"/>
      <c r="AF50" s="97"/>
      <c r="AG50" s="97"/>
      <c r="AH50" s="97"/>
      <c r="AI50" s="138"/>
      <c r="AJ50" s="141"/>
      <c r="AK50" s="97"/>
      <c r="AL50" s="97"/>
      <c r="AM50" s="97"/>
      <c r="AN50" s="97"/>
      <c r="AO50" s="138"/>
    </row>
    <row r="51" spans="1:41" hidden="1">
      <c r="N51" s="168"/>
      <c r="O51" s="125">
        <v>2015</v>
      </c>
      <c r="P51" s="125">
        <v>2016</v>
      </c>
      <c r="Q51" s="125">
        <v>2017</v>
      </c>
      <c r="R51" s="125">
        <v>2018</v>
      </c>
      <c r="S51" s="125">
        <v>2019</v>
      </c>
      <c r="T51" s="179"/>
      <c r="U51" s="180"/>
      <c r="V51" s="125"/>
      <c r="W51" s="125">
        <v>2015</v>
      </c>
      <c r="X51" s="125">
        <v>2016</v>
      </c>
      <c r="Y51" s="125">
        <v>2017</v>
      </c>
      <c r="Z51" s="125">
        <v>2018</v>
      </c>
      <c r="AA51" s="169">
        <v>2019</v>
      </c>
      <c r="AD51" s="142"/>
      <c r="AE51" s="125">
        <v>2015</v>
      </c>
      <c r="AF51" s="125">
        <v>2016</v>
      </c>
      <c r="AG51" s="125">
        <v>2017</v>
      </c>
      <c r="AH51" s="125">
        <v>2018</v>
      </c>
      <c r="AI51" s="184"/>
      <c r="AJ51" s="185"/>
      <c r="AK51" s="125"/>
      <c r="AL51" s="125">
        <v>2015</v>
      </c>
      <c r="AM51" s="125">
        <v>2016</v>
      </c>
      <c r="AN51" s="125">
        <v>2017</v>
      </c>
      <c r="AO51" s="143">
        <v>2018</v>
      </c>
    </row>
    <row r="52" spans="1:41" hidden="1">
      <c r="N52" s="168">
        <v>1</v>
      </c>
      <c r="O52" s="125">
        <v>2</v>
      </c>
      <c r="P52" s="125">
        <v>3</v>
      </c>
      <c r="Q52" s="125">
        <v>4</v>
      </c>
      <c r="R52" s="125">
        <v>5</v>
      </c>
      <c r="S52" s="125">
        <v>6</v>
      </c>
      <c r="T52" s="179"/>
      <c r="U52" s="180"/>
      <c r="V52" s="125">
        <v>1</v>
      </c>
      <c r="W52" s="125">
        <v>2</v>
      </c>
      <c r="X52" s="125">
        <v>3</v>
      </c>
      <c r="Y52" s="125">
        <v>4</v>
      </c>
      <c r="Z52" s="125">
        <v>5</v>
      </c>
      <c r="AA52" s="169">
        <v>6</v>
      </c>
      <c r="AD52" s="142">
        <v>1</v>
      </c>
      <c r="AE52" s="125">
        <v>2</v>
      </c>
      <c r="AF52" s="125">
        <v>3</v>
      </c>
      <c r="AG52" s="125">
        <v>4</v>
      </c>
      <c r="AH52" s="125">
        <v>5</v>
      </c>
      <c r="AI52" s="184"/>
      <c r="AJ52" s="185"/>
      <c r="AK52" s="125">
        <v>1</v>
      </c>
      <c r="AL52" s="125">
        <v>2</v>
      </c>
      <c r="AM52" s="125">
        <v>3</v>
      </c>
      <c r="AN52" s="125">
        <v>4</v>
      </c>
      <c r="AO52" s="143">
        <v>5</v>
      </c>
    </row>
    <row r="53" spans="1:41" hidden="1">
      <c r="N53" s="364" t="s">
        <v>241</v>
      </c>
      <c r="O53" s="125"/>
      <c r="P53" s="125"/>
      <c r="Q53" s="125"/>
      <c r="R53" s="127">
        <f>$O$20/12*7</f>
        <v>2.5666666666666667E-2</v>
      </c>
      <c r="S53" s="127">
        <f>(1+$O$20/12*7)*(1+$O$21)-1</f>
        <v>7.2847333333333486E-2</v>
      </c>
      <c r="T53" s="181"/>
      <c r="U53" s="180"/>
      <c r="V53" s="365" t="s">
        <v>241</v>
      </c>
      <c r="W53" s="125"/>
      <c r="X53" s="125"/>
      <c r="Y53" s="125"/>
      <c r="Z53" s="127">
        <f>$P$20/12*7</f>
        <v>2.2749999999999999E-2</v>
      </c>
      <c r="AA53" s="171">
        <f>(1+$P$20/12*7)*(1+$P$21)-1</f>
        <v>6.0591749999999944E-2</v>
      </c>
      <c r="AD53" s="144" t="s">
        <v>224</v>
      </c>
      <c r="AE53" s="127"/>
      <c r="AF53" s="127"/>
      <c r="AG53" s="127">
        <f>$AE$19/12*5</f>
        <v>3.0416666666666665E-2</v>
      </c>
      <c r="AH53" s="127">
        <f>(1+$AE$19/12*5)*(1+$AE$20)-1</f>
        <v>9.7393749999999946E-2</v>
      </c>
      <c r="AI53" s="186"/>
      <c r="AJ53" s="185"/>
      <c r="AK53" s="126" t="s">
        <v>224</v>
      </c>
      <c r="AL53" s="127"/>
      <c r="AM53" s="127"/>
      <c r="AN53" s="127">
        <f>$AF$19/12*5</f>
        <v>2.9166666666666667E-2</v>
      </c>
      <c r="AO53" s="145">
        <f>(1+$AF$19/12*5)*(1+$AF$20)-1</f>
        <v>9.606249999999994E-2</v>
      </c>
    </row>
    <row r="54" spans="1:41" hidden="1">
      <c r="A54" s="95" t="s">
        <v>235</v>
      </c>
      <c r="B54" s="95" t="s">
        <v>165</v>
      </c>
      <c r="N54" s="364" t="s">
        <v>242</v>
      </c>
      <c r="O54" s="125"/>
      <c r="P54" s="125"/>
      <c r="Q54" s="125"/>
      <c r="R54" s="127">
        <f>$O$20/4*3</f>
        <v>3.3000000000000002E-2</v>
      </c>
      <c r="S54" s="127">
        <f>(1+$O$20/4*3)*(1+$O$21)-1</f>
        <v>8.0517999999999867E-2</v>
      </c>
      <c r="T54" s="181"/>
      <c r="U54" s="180"/>
      <c r="V54" s="365" t="s">
        <v>242</v>
      </c>
      <c r="W54" s="125"/>
      <c r="X54" s="125"/>
      <c r="Y54" s="125"/>
      <c r="Z54" s="127">
        <f>$P$20/4*3</f>
        <v>2.9249999999999998E-2</v>
      </c>
      <c r="AA54" s="171">
        <f>(1+$P$20/4*3)*(1+$P$21)-1</f>
        <v>6.7332249999999982E-2</v>
      </c>
      <c r="AD54" s="146" t="s">
        <v>200</v>
      </c>
      <c r="AE54" s="127"/>
      <c r="AF54" s="127"/>
      <c r="AG54" s="127">
        <f>$AE$19/4*3</f>
        <v>5.4749999999999993E-2</v>
      </c>
      <c r="AH54" s="127">
        <f>(1+$AE$19/4*3)*(1+$AE$20)-1</f>
        <v>0.12330875000000008</v>
      </c>
      <c r="AI54" s="186"/>
      <c r="AJ54" s="185"/>
      <c r="AK54" s="128" t="s">
        <v>200</v>
      </c>
      <c r="AL54" s="127"/>
      <c r="AM54" s="127"/>
      <c r="AN54" s="127">
        <f>$AF$19/4*3</f>
        <v>5.2500000000000005E-2</v>
      </c>
      <c r="AO54" s="145">
        <f>(1+$AF$19/4*3)*(1+$AF$20)-1</f>
        <v>0.12091249999999998</v>
      </c>
    </row>
    <row r="55" spans="1:41" hidden="1">
      <c r="A55" s="95" t="s">
        <v>234</v>
      </c>
      <c r="B55" s="95" t="s">
        <v>236</v>
      </c>
      <c r="N55" s="364" t="s">
        <v>243</v>
      </c>
      <c r="O55" s="125"/>
      <c r="P55" s="125"/>
      <c r="Q55" s="125"/>
      <c r="R55" s="127">
        <f>$O$20/4*2</f>
        <v>2.1999999999999999E-2</v>
      </c>
      <c r="S55" s="127">
        <f>(1+$O$20/4*2)*(1+$O$21)-1</f>
        <v>6.9012000000000073E-2</v>
      </c>
      <c r="T55" s="181"/>
      <c r="U55" s="180"/>
      <c r="V55" s="365" t="s">
        <v>243</v>
      </c>
      <c r="W55" s="125"/>
      <c r="X55" s="125"/>
      <c r="Y55" s="125"/>
      <c r="Z55" s="127">
        <f>$P$20/4*2</f>
        <v>1.95E-2</v>
      </c>
      <c r="AA55" s="171">
        <f>(1+$P$20/4*2)*(1+$P$21)-1</f>
        <v>5.7221500000000036E-2</v>
      </c>
      <c r="AD55" s="146" t="s">
        <v>201</v>
      </c>
      <c r="AE55" s="127"/>
      <c r="AF55" s="127"/>
      <c r="AG55" s="127">
        <f>$AE$19/4*2</f>
        <v>3.6499999999999998E-2</v>
      </c>
      <c r="AH55" s="127">
        <f>(1+$AE$19/4*2)*(1+$AE$20)-1</f>
        <v>0.10387249999999981</v>
      </c>
      <c r="AI55" s="186"/>
      <c r="AJ55" s="185"/>
      <c r="AK55" s="128" t="s">
        <v>201</v>
      </c>
      <c r="AL55" s="127"/>
      <c r="AM55" s="127"/>
      <c r="AN55" s="127">
        <f>$AF$19/4*2</f>
        <v>3.5000000000000003E-2</v>
      </c>
      <c r="AO55" s="145">
        <f>(1+$AF$19/4*2)*(1+$AF$20)-1</f>
        <v>0.10227499999999989</v>
      </c>
    </row>
    <row r="56" spans="1:41" hidden="1">
      <c r="N56" s="364" t="s">
        <v>244</v>
      </c>
      <c r="O56" s="125"/>
      <c r="P56" s="125"/>
      <c r="Q56" s="125"/>
      <c r="R56" s="127">
        <f>$O$20/4*1</f>
        <v>1.0999999999999999E-2</v>
      </c>
      <c r="S56" s="127">
        <f>(1+$O$20/4*1)*(1+$O$21)-1</f>
        <v>5.7505999999999835E-2</v>
      </c>
      <c r="T56" s="181"/>
      <c r="U56" s="180"/>
      <c r="V56" s="365" t="s">
        <v>244</v>
      </c>
      <c r="W56" s="125"/>
      <c r="X56" s="125"/>
      <c r="Y56" s="125"/>
      <c r="Z56" s="127">
        <f>$P$20/4*1</f>
        <v>9.75E-3</v>
      </c>
      <c r="AA56" s="171">
        <f>(1+$P$20/4*1)*(1+$P$21)-1</f>
        <v>4.7110749999999868E-2</v>
      </c>
      <c r="AD56" s="146" t="s">
        <v>202</v>
      </c>
      <c r="AE56" s="127"/>
      <c r="AF56" s="127"/>
      <c r="AG56" s="127">
        <f>$AE$19/4*1</f>
        <v>1.8249999999999999E-2</v>
      </c>
      <c r="AH56" s="127">
        <f>(1+$AE$19/4*1)*(1+$AE$20)-1</f>
        <v>8.443624999999999E-2</v>
      </c>
      <c r="AI56" s="186"/>
      <c r="AJ56" s="185"/>
      <c r="AK56" s="128" t="s">
        <v>202</v>
      </c>
      <c r="AL56" s="127"/>
      <c r="AM56" s="127"/>
      <c r="AN56" s="127">
        <f>$AF$19/4*1</f>
        <v>1.7500000000000002E-2</v>
      </c>
      <c r="AO56" s="145">
        <f>(1+$AF$19/4*1)*(1+$AF$20)-1</f>
        <v>8.3637500000000031E-2</v>
      </c>
    </row>
    <row r="57" spans="1:41" hidden="1">
      <c r="N57" s="364" t="s">
        <v>245</v>
      </c>
      <c r="O57" s="125"/>
      <c r="P57" s="125"/>
      <c r="Q57" s="125"/>
      <c r="R57" s="127"/>
      <c r="S57" s="127">
        <f>$O$21</f>
        <v>4.5999999999999999E-2</v>
      </c>
      <c r="T57" s="181"/>
      <c r="U57" s="180"/>
      <c r="V57" s="365" t="s">
        <v>245</v>
      </c>
      <c r="W57" s="125"/>
      <c r="X57" s="125"/>
      <c r="Y57" s="125"/>
      <c r="Z57" s="127"/>
      <c r="AA57" s="171">
        <f>$P$21</f>
        <v>3.6999999999999998E-2</v>
      </c>
      <c r="AD57" s="146" t="s">
        <v>203</v>
      </c>
      <c r="AE57" s="127"/>
      <c r="AF57" s="127"/>
      <c r="AG57" s="127"/>
      <c r="AH57" s="127">
        <f>$AE$20</f>
        <v>6.5000000000000002E-2</v>
      </c>
      <c r="AI57" s="186"/>
      <c r="AJ57" s="185"/>
      <c r="AK57" s="128" t="s">
        <v>203</v>
      </c>
      <c r="AL57" s="127"/>
      <c r="AM57" s="127"/>
      <c r="AN57" s="127"/>
      <c r="AO57" s="145">
        <f>$AF$20</f>
        <v>6.5000000000000002E-2</v>
      </c>
    </row>
    <row r="58" spans="1:41" hidden="1">
      <c r="N58" s="170" t="s">
        <v>239</v>
      </c>
      <c r="O58" s="127"/>
      <c r="P58" s="127"/>
      <c r="Q58" s="127">
        <f>$O$19/12*7</f>
        <v>3.6750000000000005E-2</v>
      </c>
      <c r="R58" s="127">
        <f>(1+$O$19/12*7)*(1+$O$20)-1</f>
        <v>8.2367000000000079E-2</v>
      </c>
      <c r="S58" s="127">
        <f>(1+$O$19/12*7)*(1+$O$20)*(1+$O$21)-1</f>
        <v>0.13215588200000017</v>
      </c>
      <c r="T58" s="181"/>
      <c r="U58" s="180"/>
      <c r="V58" s="126" t="s">
        <v>239</v>
      </c>
      <c r="W58" s="127"/>
      <c r="X58" s="127"/>
      <c r="Y58" s="127">
        <f>$P$19/12*7</f>
        <v>4.1416666666666664E-2</v>
      </c>
      <c r="Z58" s="127">
        <f>(1+$P$19/12*7)*(1+$P$20)-1</f>
        <v>8.2031916666666538E-2</v>
      </c>
      <c r="AA58" s="171">
        <f>(1+$P$19/12*7)*(1+$P$20)*(1+$P$21)-1</f>
        <v>0.12206709758333312</v>
      </c>
      <c r="AD58" s="147" t="s">
        <v>225</v>
      </c>
      <c r="AE58" s="127"/>
      <c r="AF58" s="127">
        <f>$AE$18/12*5</f>
        <v>4.2083333333333341E-2</v>
      </c>
      <c r="AG58" s="127">
        <f>(1+$AE$18/12*5)*(1+$AE$19)-1</f>
        <v>0.11815541666666651</v>
      </c>
      <c r="AH58" s="127">
        <f>(1+$AE$18/12*5)*(1+$AE$19)*(1+$AE$20)-1</f>
        <v>0.19083551874999971</v>
      </c>
      <c r="AI58" s="186"/>
      <c r="AJ58" s="185"/>
      <c r="AK58" s="129" t="s">
        <v>225</v>
      </c>
      <c r="AL58" s="127"/>
      <c r="AM58" s="127">
        <f>$AF$18/12*5</f>
        <v>6.5416666666666665E-2</v>
      </c>
      <c r="AN58" s="127">
        <f>(1+$AF$18/12*5)*(1+$AF$19)-1</f>
        <v>0.13999583333333332</v>
      </c>
      <c r="AO58" s="145">
        <f>(1+$AF$18/12*5)*(1+$AF$19)*(1+$AF$20)-1</f>
        <v>0.21409556249999984</v>
      </c>
    </row>
    <row r="59" spans="1:41" hidden="1">
      <c r="N59" s="172" t="s">
        <v>200</v>
      </c>
      <c r="O59" s="127"/>
      <c r="P59" s="127"/>
      <c r="Q59" s="127">
        <f>$O$19/4*3</f>
        <v>4.725E-2</v>
      </c>
      <c r="R59" s="127">
        <f>(1+$O$19/4*3)*(1+$O$20)-1</f>
        <v>9.3328999999999995E-2</v>
      </c>
      <c r="S59" s="127">
        <f>(1+$O$19/4*3)*(1+$O$20)*(1+$O$21)-1</f>
        <v>0.14362213400000012</v>
      </c>
      <c r="T59" s="181"/>
      <c r="U59" s="180"/>
      <c r="V59" s="128" t="s">
        <v>200</v>
      </c>
      <c r="W59" s="127"/>
      <c r="X59" s="127"/>
      <c r="Y59" s="127">
        <f>$P$19/4*3</f>
        <v>5.3249999999999992E-2</v>
      </c>
      <c r="Z59" s="127">
        <f>(1+$P$19/4*3)*(1+$P$20)-1</f>
        <v>9.4326750000000015E-2</v>
      </c>
      <c r="AA59" s="171">
        <f>(1+$P$19/4*3)*(1+$P$20)*(1+$P$21)-1</f>
        <v>0.13481683975000003</v>
      </c>
      <c r="AD59" s="148" t="s">
        <v>204</v>
      </c>
      <c r="AE59" s="127"/>
      <c r="AF59" s="127">
        <f>$AE$18/4*3</f>
        <v>7.5750000000000012E-2</v>
      </c>
      <c r="AG59" s="127">
        <f>(1+$AE$18/4*3)*(1+$AE$19)-1</f>
        <v>0.15427974999999994</v>
      </c>
      <c r="AH59" s="127">
        <f>(1+$AE$18/4*3)*(1+$AE$19)*(1+$AE$20)-1</f>
        <v>0.22930793374999991</v>
      </c>
      <c r="AI59" s="186"/>
      <c r="AJ59" s="185"/>
      <c r="AK59" s="130" t="s">
        <v>204</v>
      </c>
      <c r="AL59" s="127"/>
      <c r="AM59" s="127">
        <f>$AF$18/4*3</f>
        <v>0.11774999999999999</v>
      </c>
      <c r="AN59" s="127">
        <f>(1+$AF$18/4*3)*(1+$AF$19)-1</f>
        <v>0.19599250000000001</v>
      </c>
      <c r="AO59" s="145">
        <f>(1+$AF$18/4*3)*(1+$AF$19)*(1+$AF$20)-1</f>
        <v>0.27373201250000001</v>
      </c>
    </row>
    <row r="60" spans="1:41" hidden="1">
      <c r="N60" s="172" t="s">
        <v>201</v>
      </c>
      <c r="O60" s="127"/>
      <c r="P60" s="127"/>
      <c r="Q60" s="127">
        <f>$O$19/4*2</f>
        <v>3.15E-2</v>
      </c>
      <c r="R60" s="127">
        <f>(1+$O$19/4*2)*(1+$O$20)-1</f>
        <v>7.6886000000000232E-2</v>
      </c>
      <c r="S60" s="127">
        <f>(1+$O$19/4*2)*(1+$O$20)*(1+$O$21)-1</f>
        <v>0.12642275600000019</v>
      </c>
      <c r="T60" s="181"/>
      <c r="U60" s="180"/>
      <c r="V60" s="128" t="s">
        <v>201</v>
      </c>
      <c r="W60" s="127"/>
      <c r="X60" s="127"/>
      <c r="Y60" s="127">
        <f>$P$19/4*2</f>
        <v>3.5499999999999997E-2</v>
      </c>
      <c r="Z60" s="127">
        <f>(1+$P$19/4*2)*(1+$P$20)-1</f>
        <v>7.588449999999991E-2</v>
      </c>
      <c r="AA60" s="171">
        <f>(1+$P$19/4*2)*(1+$P$20)*(1+$P$21)-1</f>
        <v>0.11569222649999977</v>
      </c>
      <c r="AD60" s="148" t="s">
        <v>205</v>
      </c>
      <c r="AE60" s="127"/>
      <c r="AF60" s="127">
        <f>$AE$18/4*2</f>
        <v>5.0500000000000003E-2</v>
      </c>
      <c r="AG60" s="127">
        <f>(1+$AE$18/4*2)*(1+$AE$19)-1</f>
        <v>0.12718649999999987</v>
      </c>
      <c r="AH60" s="127">
        <f>(1+$AE$18/4*2)*(1+$AE$19)*(1+$AE$20)-1</f>
        <v>0.20045362249999976</v>
      </c>
      <c r="AI60" s="186"/>
      <c r="AJ60" s="185"/>
      <c r="AK60" s="130" t="s">
        <v>205</v>
      </c>
      <c r="AL60" s="127"/>
      <c r="AM60" s="127">
        <f>$AF$18/4*2</f>
        <v>7.85E-2</v>
      </c>
      <c r="AN60" s="127">
        <f>(1+$AF$18/4*2)*(1+$AF$19)-1</f>
        <v>0.1539950000000001</v>
      </c>
      <c r="AO60" s="145">
        <f>(1+$AF$18/4*2)*(1+$AF$19)*(1+$AF$20)-1</f>
        <v>0.2290046750000001</v>
      </c>
    </row>
    <row r="61" spans="1:41" hidden="1">
      <c r="N61" s="172" t="s">
        <v>202</v>
      </c>
      <c r="O61" s="127"/>
      <c r="P61" s="127"/>
      <c r="Q61" s="127">
        <f>$O$19/4*1</f>
        <v>1.575E-2</v>
      </c>
      <c r="R61" s="127">
        <f>(1+$O$19/4*1)*(1+$O$20)-1</f>
        <v>6.0443000000000024E-2</v>
      </c>
      <c r="S61" s="127">
        <f>(1+$O$19/4*1)*(1+$O$20)*(1+$O$21)-1</f>
        <v>0.10922337800000004</v>
      </c>
      <c r="T61" s="181"/>
      <c r="U61" s="180"/>
      <c r="V61" s="128" t="s">
        <v>202</v>
      </c>
      <c r="W61" s="127"/>
      <c r="X61" s="127"/>
      <c r="Y61" s="127">
        <f>$P$19/4*1</f>
        <v>1.7749999999999998E-2</v>
      </c>
      <c r="Z61" s="127">
        <f>(1+$P$19/4*1)*(1+$P$20)-1</f>
        <v>5.7442249999999806E-2</v>
      </c>
      <c r="AA61" s="171">
        <f>(1+$P$19/4*1)*(1+$P$20)*(1+$P$21)-1</f>
        <v>9.656761324999974E-2</v>
      </c>
      <c r="AD61" s="148" t="s">
        <v>206</v>
      </c>
      <c r="AE61" s="127"/>
      <c r="AF61" s="127">
        <f>$AE$18/4*1</f>
        <v>2.5250000000000002E-2</v>
      </c>
      <c r="AG61" s="127">
        <f>(1+$AE$18/4*1)*(1+$AE$19)-1</f>
        <v>0.10009325000000002</v>
      </c>
      <c r="AH61" s="127">
        <f>(1+$AE$18/4*1)*(1+$AE$19)*(1+$AE$20)-1</f>
        <v>0.17159931125000005</v>
      </c>
      <c r="AI61" s="186"/>
      <c r="AJ61" s="185"/>
      <c r="AK61" s="130" t="s">
        <v>206</v>
      </c>
      <c r="AL61" s="127"/>
      <c r="AM61" s="127">
        <f>$AF$18/4*1</f>
        <v>3.925E-2</v>
      </c>
      <c r="AN61" s="127">
        <f>(1+$AF$18/4*1)*(1+$AF$19)-1</f>
        <v>0.11199749999999997</v>
      </c>
      <c r="AO61" s="145">
        <f>(1+$AF$18/4*1)*(1+$AF$19)*(1+$AF$20)-1</f>
        <v>0.18427733749999997</v>
      </c>
    </row>
    <row r="62" spans="1:41" hidden="1">
      <c r="N62" s="172" t="s">
        <v>203</v>
      </c>
      <c r="O62" s="127"/>
      <c r="P62" s="127"/>
      <c r="Q62" s="127"/>
      <c r="R62" s="127">
        <f>$O$20</f>
        <v>4.3999999999999997E-2</v>
      </c>
      <c r="S62" s="127">
        <f>(1+$O$20)*(1+$O$21)-1</f>
        <v>9.2024000000000106E-2</v>
      </c>
      <c r="T62" s="181"/>
      <c r="U62" s="180"/>
      <c r="V62" s="128" t="s">
        <v>203</v>
      </c>
      <c r="W62" s="127"/>
      <c r="X62" s="127"/>
      <c r="Y62" s="127"/>
      <c r="Z62" s="127">
        <f>$P$20</f>
        <v>3.9E-2</v>
      </c>
      <c r="AA62" s="171">
        <f>(1+$P$20)*(1+$P$21)-1</f>
        <v>7.7442999999999929E-2</v>
      </c>
      <c r="AD62" s="148" t="s">
        <v>197</v>
      </c>
      <c r="AE62" s="127"/>
      <c r="AF62" s="127"/>
      <c r="AG62" s="127">
        <f>$AE$19</f>
        <v>7.2999999999999995E-2</v>
      </c>
      <c r="AH62" s="127">
        <f>(1+$AE$19)*(1+$AE$20)-1</f>
        <v>0.1427449999999999</v>
      </c>
      <c r="AI62" s="186"/>
      <c r="AJ62" s="185"/>
      <c r="AK62" s="130" t="s">
        <v>197</v>
      </c>
      <c r="AL62" s="127"/>
      <c r="AM62" s="127"/>
      <c r="AN62" s="127">
        <f>$AF$19</f>
        <v>7.0000000000000007E-2</v>
      </c>
      <c r="AO62" s="145">
        <f>(1+$AF$19)*(1+$AF$20)-1</f>
        <v>0.13955000000000006</v>
      </c>
    </row>
    <row r="63" spans="1:41" hidden="1">
      <c r="N63" s="173" t="s">
        <v>225</v>
      </c>
      <c r="O63" s="127"/>
      <c r="P63" s="127">
        <f>$O$18/12*5</f>
        <v>5.9583333333333328E-2</v>
      </c>
      <c r="Q63" s="127">
        <f>(1+$O$18/12*5)*(1+$O$19)-1</f>
        <v>0.12633708333333327</v>
      </c>
      <c r="R63" s="127">
        <f>(1+$O$18/12*5)*(1+$O$19)*(1+$O$20)-1</f>
        <v>0.1758959149999999</v>
      </c>
      <c r="S63" s="127">
        <f>(1+$O$18/12*5)*(1+$O$19)*(1+$O$20)*(1+$O$21)-1</f>
        <v>0.22998712709000002</v>
      </c>
      <c r="T63" s="181"/>
      <c r="U63" s="180"/>
      <c r="V63" s="129" t="s">
        <v>225</v>
      </c>
      <c r="W63" s="127"/>
      <c r="X63" s="127">
        <f>$P$18/12*5</f>
        <v>6.4583333333333326E-2</v>
      </c>
      <c r="Y63" s="127">
        <f>(1+$P$18/12*5)*(1+$P$19)-1</f>
        <v>0.14016874999999973</v>
      </c>
      <c r="Z63" s="127">
        <f>(1+$P$18/12*5)*(1+$P$19)*(1+$P$20)-1</f>
        <v>0.18463533124999953</v>
      </c>
      <c r="AA63" s="171">
        <f>(1+$P$18/12*5)*(1+$P$19)*(1+$P$20)*(1+$P$21)-1</f>
        <v>0.22846683850624938</v>
      </c>
      <c r="AD63" s="149" t="s">
        <v>207</v>
      </c>
      <c r="AE63" s="127">
        <f>$AE$17/4*3</f>
        <v>2.4750000000000001E-2</v>
      </c>
      <c r="AF63" s="127">
        <f>(1+$AE$17/4*3)*(1+$AE$18)-1</f>
        <v>0.12824974999999994</v>
      </c>
      <c r="AG63" s="127">
        <f>(1+$AE$17/4*3)*(1+$AE$18)*(1+$AE$19)-1</f>
        <v>0.21061198174999984</v>
      </c>
      <c r="AH63" s="127">
        <f>(1+$AE$17/4*3)*(1+$AE$18)*(1+$AE$19)*(1+$AE$20)-1</f>
        <v>0.28930176056374979</v>
      </c>
      <c r="AI63" s="186"/>
      <c r="AJ63" s="185"/>
      <c r="AK63" s="131" t="s">
        <v>207</v>
      </c>
      <c r="AL63" s="127">
        <f>$AF$17/4*3</f>
        <v>5.8499999999999996E-2</v>
      </c>
      <c r="AM63" s="127">
        <f>(1+$AF$17/4*3)*(1+$AF$18)-1</f>
        <v>0.22468449999999995</v>
      </c>
      <c r="AN63" s="127">
        <f>(1+$AF$17/4*3)*(1+$AF$18)*(1+$AF$19)-1</f>
        <v>0.31041241500000005</v>
      </c>
      <c r="AO63" s="145">
        <f>(1+$AF$17/4*3)*(1+$AF$18)*(1+$AF$19)*(1+$AF$20)-1</f>
        <v>0.39558922197499991</v>
      </c>
    </row>
    <row r="64" spans="1:41" hidden="1">
      <c r="N64" s="174" t="s">
        <v>204</v>
      </c>
      <c r="O64" s="127"/>
      <c r="P64" s="127">
        <f>$O$18/4*3</f>
        <v>0.10724999999999998</v>
      </c>
      <c r="Q64" s="127">
        <f>(1+$O$18/4*3)*(1+$O$19)-1</f>
        <v>0.1770067500000001</v>
      </c>
      <c r="R64" s="127">
        <f>(1+$O$18/4*3)*(1+$O$19)*(1+$O$20)-1</f>
        <v>0.2287950470000002</v>
      </c>
      <c r="S64" s="127">
        <f>(1+$O$18/4*3)*(1+$O$19)*(1+$O$20)*(1+$O$21)-1</f>
        <v>0.28531961916200022</v>
      </c>
      <c r="T64" s="181"/>
      <c r="U64" s="180"/>
      <c r="V64" s="130" t="s">
        <v>204</v>
      </c>
      <c r="W64" s="127"/>
      <c r="X64" s="127">
        <f>$P$18/4*3</f>
        <v>0.11624999999999999</v>
      </c>
      <c r="Y64" s="127">
        <f>(1+$P$18/4*3)*(1+$P$19)-1</f>
        <v>0.19550374999999987</v>
      </c>
      <c r="Z64" s="127">
        <f>(1+$P$18/4*3)*(1+$P$19)*(1+$P$20)-1</f>
        <v>0.24212839624999982</v>
      </c>
      <c r="AA64" s="171">
        <f>(1+$P$18/4*3)*(1+$P$19)*(1+$P$20)*(1+$P$21)-1</f>
        <v>0.28808714691124981</v>
      </c>
      <c r="AD64" s="149" t="s">
        <v>208</v>
      </c>
      <c r="AE64" s="127">
        <f>$AE$17/4*2</f>
        <v>1.6500000000000001E-2</v>
      </c>
      <c r="AF64" s="127">
        <f>(1+$AE$17/4*2)*(1+$AE$18)-1</f>
        <v>0.11916649999999995</v>
      </c>
      <c r="AG64" s="127">
        <f>(1+$AE$17/4*2)*(1+$AE$18)*(1+$AE$19)-1</f>
        <v>0.20086565449999982</v>
      </c>
      <c r="AH64" s="127">
        <f>(1+$AE$17/4*2)*(1+$AE$18)*(1+$AE$19)*(1+$AE$20)-1</f>
        <v>0.27892192204249966</v>
      </c>
      <c r="AI64" s="186"/>
      <c r="AJ64" s="185"/>
      <c r="AK64" s="131" t="s">
        <v>208</v>
      </c>
      <c r="AL64" s="127">
        <f>$AF$17/4*2</f>
        <v>3.9E-2</v>
      </c>
      <c r="AM64" s="127">
        <f>(1+$AF$17/4*2)*(1+$AF$18)-1</f>
        <v>0.20212299999999983</v>
      </c>
      <c r="AN64" s="127">
        <f>(1+$AF$17/4*2)*(1+$AF$18)*(1+$AF$19)-1</f>
        <v>0.28627160999999979</v>
      </c>
      <c r="AO64" s="145">
        <f>(1+$AF$17/4*2)*(1+$AF$18)*(1+$AF$19)*(1+$AF$20)-1</f>
        <v>0.36987926464999976</v>
      </c>
    </row>
    <row r="65" spans="14:41" hidden="1">
      <c r="N65" s="174" t="s">
        <v>205</v>
      </c>
      <c r="O65" s="127"/>
      <c r="P65" s="127">
        <f>$O$18/4*2</f>
        <v>7.1499999999999994E-2</v>
      </c>
      <c r="Q65" s="127">
        <f>(1+$O$18/4*2)*(1+$O$19)-1</f>
        <v>0.13900449999999975</v>
      </c>
      <c r="R65" s="127">
        <f>(1+$O$18/4*2)*(1+$O$19)*(1+$O$20)-1</f>
        <v>0.18912069799999975</v>
      </c>
      <c r="S65" s="127">
        <f>(1+$O$18/4*2)*(1+$O$19)*(1+$O$20)*(1+$O$21)-1</f>
        <v>0.24382025010799979</v>
      </c>
      <c r="T65" s="181"/>
      <c r="U65" s="180"/>
      <c r="V65" s="130" t="s">
        <v>205</v>
      </c>
      <c r="W65" s="127"/>
      <c r="X65" s="127">
        <f>$P$18/4*2</f>
        <v>7.7499999999999999E-2</v>
      </c>
      <c r="Y65" s="127">
        <f>(1+$P$18/4*2)*(1+$P$19)-1</f>
        <v>0.15400249999999982</v>
      </c>
      <c r="Z65" s="127">
        <f>(1+$P$18/4*2)*(1+$P$19)*(1+$P$20)-1</f>
        <v>0.19900859749999977</v>
      </c>
      <c r="AA65" s="171">
        <f>(1+$P$18/4*2)*(1+$P$19)*(1+$P$20)*(1+$P$21)-1</f>
        <v>0.2433719156074996</v>
      </c>
      <c r="AD65" s="149" t="s">
        <v>209</v>
      </c>
      <c r="AE65" s="127">
        <f>$AE$17/4*1</f>
        <v>8.2500000000000004E-3</v>
      </c>
      <c r="AF65" s="127">
        <f>(1+$AE$17/4*1)*(1+$AE$18)-1</f>
        <v>0.11008325000000019</v>
      </c>
      <c r="AG65" s="127">
        <f>(1+$AE$17/4*1)*(1+$AE$18)*(1+$AE$19)-1</f>
        <v>0.19111932725000025</v>
      </c>
      <c r="AH65" s="127">
        <f>(1+$AE$17/4*1)*(1+$AE$18)*(1+$AE$19)*(1+$AE$20)-1</f>
        <v>0.2685420835212502</v>
      </c>
      <c r="AI65" s="186"/>
      <c r="AJ65" s="185"/>
      <c r="AK65" s="131" t="s">
        <v>209</v>
      </c>
      <c r="AL65" s="127">
        <f>$AF$17/4*1</f>
        <v>1.95E-2</v>
      </c>
      <c r="AM65" s="127">
        <f>(1+$AF$17/4*1)*(1+$AF$18)-1</f>
        <v>0.17956150000000015</v>
      </c>
      <c r="AN65" s="127">
        <f>(1+$AF$17/4*1)*(1+$AF$18)*(1+$AF$19)-1</f>
        <v>0.26213080500000019</v>
      </c>
      <c r="AO65" s="145">
        <f>(1+$AF$17/4*1)*(1+$AF$18)*(1+$AF$19)*(1+$AF$20)-1</f>
        <v>0.34416930732500006</v>
      </c>
    </row>
    <row r="66" spans="14:41" hidden="1">
      <c r="N66" s="174" t="s">
        <v>206</v>
      </c>
      <c r="O66" s="127"/>
      <c r="P66" s="127">
        <f>$O$18/4*1</f>
        <v>3.5749999999999997E-2</v>
      </c>
      <c r="Q66" s="127">
        <f>(1+$O$18/4*1)*(1+$O$19)-1</f>
        <v>0.10100224999999985</v>
      </c>
      <c r="R66" s="127">
        <f>(1+$O$18/4*1)*(1+$O$19)*(1+$O$20)-1</f>
        <v>0.14944634899999998</v>
      </c>
      <c r="S66" s="127">
        <f>(1+$O$18/4*1)*(1+$O$19)*(1+$O$20)*(1+$O$21)-1</f>
        <v>0.20232088105400003</v>
      </c>
      <c r="T66" s="181"/>
      <c r="U66" s="180"/>
      <c r="V66" s="130" t="s">
        <v>206</v>
      </c>
      <c r="W66" s="127"/>
      <c r="X66" s="127">
        <f>$P$18/4*1</f>
        <v>3.875E-2</v>
      </c>
      <c r="Y66" s="127">
        <f>(1+$P$18/4*1)*(1+$P$19)-1</f>
        <v>0.11250125</v>
      </c>
      <c r="Z66" s="127">
        <f>(1+$P$18/4*1)*(1+$P$19)*(1+$P$20)-1</f>
        <v>0.15588879874999995</v>
      </c>
      <c r="AA66" s="171">
        <f>(1+$P$18/4*1)*(1+$P$19)*(1+$P$20)*(1+$P$21)-1</f>
        <v>0.19865668430374983</v>
      </c>
      <c r="AD66" s="149" t="s">
        <v>210</v>
      </c>
      <c r="AE66" s="127"/>
      <c r="AF66" s="127">
        <f>$AE$18</f>
        <v>0.10100000000000001</v>
      </c>
      <c r="AG66" s="127">
        <f>(1+$AE$18)*(1+$AE$19)-1</f>
        <v>0.18137300000000001</v>
      </c>
      <c r="AH66" s="127">
        <f>(1+$AE$18)*(1+$AE$19)*(1+$AE$20)-1</f>
        <v>0.25816224499999985</v>
      </c>
      <c r="AI66" s="186"/>
      <c r="AJ66" s="185"/>
      <c r="AK66" s="131" t="s">
        <v>210</v>
      </c>
      <c r="AL66" s="127"/>
      <c r="AM66" s="127">
        <f>$AF$18</f>
        <v>0.157</v>
      </c>
      <c r="AN66" s="127">
        <f>(1+$AF$18)*(1+$AF$19)-1</f>
        <v>0.23799000000000015</v>
      </c>
      <c r="AO66" s="145">
        <f>(1+$AF$18)*(1+$AF$19)*(1+$AF$20)-1</f>
        <v>0.31845935000000014</v>
      </c>
    </row>
    <row r="67" spans="14:41" hidden="1">
      <c r="N67" s="174" t="s">
        <v>197</v>
      </c>
      <c r="O67" s="127"/>
      <c r="P67" s="127"/>
      <c r="Q67" s="127">
        <f>$O$19</f>
        <v>6.3E-2</v>
      </c>
      <c r="R67" s="127">
        <f>(1+$O$19)*(1+$O$20)-1</f>
        <v>0.10977199999999998</v>
      </c>
      <c r="S67" s="127">
        <f>(1+$O$19)*(1+$O$20)*(1+$O$21)-1</f>
        <v>0.16082151200000006</v>
      </c>
      <c r="T67" s="181"/>
      <c r="U67" s="180"/>
      <c r="V67" s="130" t="s">
        <v>197</v>
      </c>
      <c r="W67" s="127"/>
      <c r="X67" s="127"/>
      <c r="Y67" s="127">
        <f>$P$19</f>
        <v>7.0999999999999994E-2</v>
      </c>
      <c r="Z67" s="127">
        <f>(1+$P$19)*(1+$P$20)-1</f>
        <v>0.1127689999999999</v>
      </c>
      <c r="AA67" s="171">
        <f>(1+$P$19)*(1+$P$20)*(1+$P$21)-1</f>
        <v>0.15394145299999984</v>
      </c>
      <c r="AD67" s="150" t="s">
        <v>211</v>
      </c>
      <c r="AE67" s="127">
        <f>(1+$AE$16/4*3)*(1+$AE$17)-1</f>
        <v>7.9484999999999806E-2</v>
      </c>
      <c r="AF67" s="127">
        <f>(1+$AE$16/4*3)*(1+$AE$17)*(1+$AE$18)-1</f>
        <v>0.1885129849999998</v>
      </c>
      <c r="AG67" s="127">
        <f>(1+$AE$16/4*3)*(1+$AE$17)*(1+$AE$18)*(1+$AE$19)-1</f>
        <v>0.27527443290499964</v>
      </c>
      <c r="AH67" s="127">
        <f>(1+$AE$16/4*3)*(1+$AE$17)*(1+$AE$18)*(1+$AE$19)*(1+$AE$20)-1</f>
        <v>0.35816727104382462</v>
      </c>
      <c r="AI67" s="186"/>
      <c r="AJ67" s="185"/>
      <c r="AK67" s="132" t="s">
        <v>211</v>
      </c>
      <c r="AL67" s="127">
        <f>(1+$AF$16/4*3)*(1+$AF$17)-1</f>
        <v>0.13297800000000004</v>
      </c>
      <c r="AM67" s="127">
        <f>(1+$AF$16/4*3)*(1+$AF$17)*(1+$AF$18)-1</f>
        <v>0.31085554599999998</v>
      </c>
      <c r="AN67" s="127">
        <f>(1+$AF$16/4*3)*(1+$AF$17)*(1+$AF$18)*(1+$AF$19)-1</f>
        <v>0.40261543422000012</v>
      </c>
      <c r="AO67" s="145">
        <f>(1+$AF$16/4*3)*(1+$AF$17)*(1+$AF$18)*(1+$AF$19)*(1+$AF$20)-1</f>
        <v>0.49378543744430003</v>
      </c>
    </row>
    <row r="68" spans="14:41" hidden="1">
      <c r="N68" s="175" t="s">
        <v>207</v>
      </c>
      <c r="O68" s="127">
        <f>$O$17/4*3</f>
        <v>3.6750000000000005E-2</v>
      </c>
      <c r="P68" s="127">
        <f>(1+$O$17/4*3)*(1+$O$18)-1</f>
        <v>0.18500525000000012</v>
      </c>
      <c r="Q68" s="127">
        <f>(1+$O$17/4*3)*(1+$O$18)*(1+$O$19)-1</f>
        <v>0.25966058075000009</v>
      </c>
      <c r="R68" s="127">
        <f>(1+$O$17/4*3)*(1+$O$18)*(1+$O$19)*(1+$O$20)-1</f>
        <v>0.31508564630300007</v>
      </c>
      <c r="S68" s="127">
        <f>(1+$O$17/4*3)*(1+$O$18)*(1+$O$19)*(1+$O$20)*(1+$O$21)-1</f>
        <v>0.37557958603293806</v>
      </c>
      <c r="T68" s="181"/>
      <c r="U68" s="180"/>
      <c r="V68" s="131" t="s">
        <v>207</v>
      </c>
      <c r="W68" s="127">
        <f>$P$17/4*3</f>
        <v>5.8499999999999996E-2</v>
      </c>
      <c r="X68" s="127">
        <f>(1+$P$17/4*3)*(1+$P$18)-1</f>
        <v>0.22256750000000003</v>
      </c>
      <c r="Y68" s="127">
        <f>(1+$P$17/4*3)*(1+$P$18)*(1+$P$19)-1</f>
        <v>0.30936979250000007</v>
      </c>
      <c r="Z68" s="127">
        <f>(1+$P$17/4*3)*(1+$P$18)*(1+$P$19)*(1+$P$20)-1</f>
        <v>0.36043521440750004</v>
      </c>
      <c r="AA68" s="171">
        <f>(1+$P$17/4*3)*(1+$P$18)*(1+$P$19)*(1+$P$20)*(1+$P$21)-1</f>
        <v>0.41077131734057737</v>
      </c>
      <c r="AD68" s="150" t="s">
        <v>212</v>
      </c>
      <c r="AE68" s="127">
        <f>(1+$AE$16/4*2)*(1+$AE$17)-1</f>
        <v>6.3989999999999991E-2</v>
      </c>
      <c r="AF68" s="127">
        <f>(1+$AE$16/4*2)*(1+$AE$17)*(1+$AE$18)-1</f>
        <v>0.17145298999999992</v>
      </c>
      <c r="AG68" s="127">
        <f>(1+$AE$16/4*2)*(1+$AE$17)*(1+$AE$18)*(1+$AE$19)-1</f>
        <v>0.25696905826999994</v>
      </c>
      <c r="AH68" s="127">
        <f>(1+$AE$16/4*2)*(1+$AE$17)*(1+$AE$18)*(1+$AE$19)*(1+$AE$20)-1</f>
        <v>0.33867204705754994</v>
      </c>
      <c r="AI68" s="186"/>
      <c r="AJ68" s="185"/>
      <c r="AK68" s="132" t="s">
        <v>212</v>
      </c>
      <c r="AL68" s="127">
        <f>(1+$AF$16/4*2)*(1+$AF$17)-1</f>
        <v>0.1146520000000002</v>
      </c>
      <c r="AM68" s="127">
        <f>(1+$AF$16/4*2)*(1+$AF$17)*(1+$AF$18)-1</f>
        <v>0.28965236400000016</v>
      </c>
      <c r="AN68" s="127">
        <f>(1+$AF$16/4*2)*(1+$AF$17)*(1+$AF$18)*(1+$AF$19)-1</f>
        <v>0.37992802948000026</v>
      </c>
      <c r="AO68" s="145">
        <f>(1+$AF$16/4*2)*(1+$AF$17)*(1+$AF$18)*(1+$AF$19)*(1+$AF$20)-1</f>
        <v>0.46962335139620026</v>
      </c>
    </row>
    <row r="69" spans="14:41" hidden="1">
      <c r="N69" s="175" t="s">
        <v>208</v>
      </c>
      <c r="O69" s="127">
        <f>$O$17/4*2</f>
        <v>2.4500000000000001E-2</v>
      </c>
      <c r="P69" s="127">
        <f>(1+$O$17/4*2)*(1+$O$18)-1</f>
        <v>0.17100350000000009</v>
      </c>
      <c r="Q69" s="127">
        <f>(1+$O$17/4*2)*(1+$O$18)*(1+$O$19)-1</f>
        <v>0.24477672049999999</v>
      </c>
      <c r="R69" s="127">
        <f>(1+$O$17/4*2)*(1+$O$18)*(1+$O$19)*(1+$O$20)-1</f>
        <v>0.29954689620200003</v>
      </c>
      <c r="S69" s="127">
        <f>(1+$O$17/4*2)*(1+$O$18)*(1+$O$19)*(1+$O$20)*(1+$O$21)-1</f>
        <v>0.35932605342729218</v>
      </c>
      <c r="T69" s="181"/>
      <c r="U69" s="180"/>
      <c r="V69" s="131" t="s">
        <v>208</v>
      </c>
      <c r="W69" s="127">
        <f>$P$17/4*2</f>
        <v>3.9E-2</v>
      </c>
      <c r="X69" s="127">
        <f>(1+$P$17/4*2)*(1+$P$18)-1</f>
        <v>0.20004500000000003</v>
      </c>
      <c r="Y69" s="127">
        <f>(1+$P$17/4*2)*(1+$P$18)*(1+$P$19)-1</f>
        <v>0.28524819499999987</v>
      </c>
      <c r="Z69" s="127">
        <f>(1+$P$17/4*2)*(1+$P$18)*(1+$P$19)*(1+$P$20)-1</f>
        <v>0.33537287460499976</v>
      </c>
      <c r="AA69" s="171">
        <f>(1+$P$17/4*2)*(1+$P$18)*(1+$P$19)*(1+$P$20)*(1+$P$21)-1</f>
        <v>0.38478167096538463</v>
      </c>
      <c r="AD69" s="150" t="s">
        <v>213</v>
      </c>
      <c r="AE69" s="127">
        <f>(1+$AE$16/4*1)*(1+$AE$17)-1</f>
        <v>4.8494999999999733E-2</v>
      </c>
      <c r="AF69" s="127">
        <f>(1+$AE$16/4*1)*(1+$AE$17)*(1+$AE$18)-1</f>
        <v>0.15439299499999959</v>
      </c>
      <c r="AG69" s="127">
        <f>(1+$AE$16/4*1)*(1+$AE$17)*(1+$AE$18)*(1+$AE$19)-1</f>
        <v>0.23866368363499957</v>
      </c>
      <c r="AH69" s="127">
        <f>(1+$AE$16/4*1)*(1+$AE$17)*(1+$AE$18)*(1+$AE$19)*(1+$AE$20)-1</f>
        <v>0.31917682307127437</v>
      </c>
      <c r="AI69" s="186"/>
      <c r="AJ69" s="185"/>
      <c r="AK69" s="132" t="s">
        <v>213</v>
      </c>
      <c r="AL69" s="127">
        <f>(1+$AF$16/4*1)*(1+$AF$17)-1</f>
        <v>9.6325999999999912E-2</v>
      </c>
      <c r="AM69" s="127">
        <f>(1+$AF$16/4*1)*(1+$AF$17)*(1+$AF$18)-1</f>
        <v>0.2684491819999999</v>
      </c>
      <c r="AN69" s="127">
        <f>(1+$AF$16/4*1)*(1+$AF$17)*(1+$AF$18)*(1+$AF$19)-1</f>
        <v>0.35724062473999996</v>
      </c>
      <c r="AO69" s="145">
        <f>(1+$AF$16/4*1)*(1+$AF$17)*(1+$AF$18)*(1+$AF$19)*(1+$AF$20)-1</f>
        <v>0.44546126534809982</v>
      </c>
    </row>
    <row r="70" spans="14:41" hidden="1">
      <c r="N70" s="175" t="s">
        <v>209</v>
      </c>
      <c r="O70" s="127">
        <f>$O$17/4*1</f>
        <v>1.225E-2</v>
      </c>
      <c r="P70" s="127">
        <f>(1+$O$17/4*1)*(1+$O$18)-1</f>
        <v>0.15700175000000005</v>
      </c>
      <c r="Q70" s="127">
        <f>(1+$O$17/4*1)*(1+$O$18)*(1+$O$19)-1</f>
        <v>0.22989286024999989</v>
      </c>
      <c r="R70" s="127">
        <f>(1+$O$17/4*1)*(1+$O$18)*(1+$O$19)*(1+$O$20)-1</f>
        <v>0.284008146101</v>
      </c>
      <c r="S70" s="127">
        <f>(1+$O$17/4*1)*(1+$O$18)*(1+$O$19)*(1+$O$20)*(1+$O$21)-1</f>
        <v>0.34307252082164608</v>
      </c>
      <c r="T70" s="181"/>
      <c r="U70" s="180"/>
      <c r="V70" s="131" t="s">
        <v>209</v>
      </c>
      <c r="W70" s="127">
        <f>$P$17/4*1</f>
        <v>1.95E-2</v>
      </c>
      <c r="X70" s="127">
        <f>(1+$P$17/4*1)*(1+$P$18)-1</f>
        <v>0.17752250000000003</v>
      </c>
      <c r="Y70" s="127">
        <f>(1+$P$17/4*1)*(1+$P$18)*(1+$P$19)-1</f>
        <v>0.26112659749999989</v>
      </c>
      <c r="Z70" s="127">
        <f>(1+$P$17/4*1)*(1+$P$18)*(1+$P$19)*(1+$P$20)-1</f>
        <v>0.3103105348024997</v>
      </c>
      <c r="AA70" s="171">
        <f>(1+$P$17/4*1)*(1+$P$18)*(1+$P$19)*(1+$P$20)*(1+$P$21)-1</f>
        <v>0.3587920245901921</v>
      </c>
      <c r="AD70" s="150" t="s">
        <v>214</v>
      </c>
      <c r="AE70" s="127">
        <f>$AE$17</f>
        <v>3.3000000000000002E-2</v>
      </c>
      <c r="AF70" s="127">
        <f>(1+$AE$17)*(1+$AE$18)-1</f>
        <v>0.13733299999999993</v>
      </c>
      <c r="AG70" s="127">
        <f>(1+$AE$17)*(1+$AE$18)*(1+$AE$19)-1</f>
        <v>0.22035830899999986</v>
      </c>
      <c r="AH70" s="127">
        <f>(1+$AE$17)*(1+$AE$18)*(1+$AE$19)*(1+$AE$20)-1</f>
        <v>0.29968159908499969</v>
      </c>
      <c r="AI70" s="186"/>
      <c r="AJ70" s="185"/>
      <c r="AK70" s="132" t="s">
        <v>214</v>
      </c>
      <c r="AL70" s="127">
        <f>$AF$17</f>
        <v>7.8E-2</v>
      </c>
      <c r="AM70" s="127">
        <f>(1+$AF$17)*(1+$AF$18)-1</f>
        <v>0.24724600000000008</v>
      </c>
      <c r="AN70" s="127">
        <f>(1+$AF$17)*(1+$AF$18)*(1+$AF$19)-1</f>
        <v>0.3345532200000001</v>
      </c>
      <c r="AO70" s="145">
        <f>(1+$AF$17)*(1+$AF$18)*(1+$AF$19)*(1+$AF$20)-1</f>
        <v>0.42129917930000005</v>
      </c>
    </row>
    <row r="71" spans="14:41" hidden="1">
      <c r="N71" s="175" t="s">
        <v>210</v>
      </c>
      <c r="O71" s="127"/>
      <c r="P71" s="127">
        <f>$O$18</f>
        <v>0.14299999999999999</v>
      </c>
      <c r="Q71" s="127">
        <f>(1+$O$18)*(1+$O$19)-1</f>
        <v>0.21500900000000001</v>
      </c>
      <c r="R71" s="127">
        <f>(1+$O$18)*(1+$O$19)*(1+$O$20)-1</f>
        <v>0.26846939599999997</v>
      </c>
      <c r="S71" s="127">
        <f>(1+$O$18)*(1+$O$19)*(1+$O$20)*(1+$O$21)-1</f>
        <v>0.32681898821599997</v>
      </c>
      <c r="T71" s="181"/>
      <c r="U71" s="180"/>
      <c r="V71" s="131" t="s">
        <v>210</v>
      </c>
      <c r="W71" s="127"/>
      <c r="X71" s="127">
        <f>$P$18</f>
        <v>0.155</v>
      </c>
      <c r="Y71" s="127">
        <f>(1+$P$18)*(1+$P$19)-1</f>
        <v>0.23700499999999991</v>
      </c>
      <c r="Z71" s="127">
        <f>(1+$P$18)*(1+$P$19)*(1+$P$20)-1</f>
        <v>0.28524819499999987</v>
      </c>
      <c r="AA71" s="171">
        <f>(1+$P$18)*(1+$P$19)*(1+$P$20)*(1+$P$21)-1</f>
        <v>0.33280237821499981</v>
      </c>
      <c r="AD71" s="151" t="s">
        <v>215</v>
      </c>
      <c r="AE71" s="127">
        <f>(1+$AE$15/4*3)*(1+$AE$16)*(1+$AE$17)-1</f>
        <v>0.15082397999999997</v>
      </c>
      <c r="AF71" s="127">
        <f>(1+$AE$15/4*3)*(1+$AE$16)*(1+$AE$17)*(1+$AE$18)-1</f>
        <v>0.26705720197999994</v>
      </c>
      <c r="AG71" s="127">
        <f>(1+$AE$15/4*3)*(1+$AE$16)*(1+$AE$17)*(1+$AE$18)*(1+$AE$19)-1</f>
        <v>0.35955237772453996</v>
      </c>
      <c r="AH71" s="127">
        <f>(1+$AE$15/4*3)*(1+$AE$16)*(1+$AE$17)*(1+$AE$18)*(1+$AE$19)*(1+$AE$20)-1</f>
        <v>0.44792328227663503</v>
      </c>
      <c r="AI71" s="186"/>
      <c r="AJ71" s="185"/>
      <c r="AK71" s="133" t="s">
        <v>215</v>
      </c>
      <c r="AL71" s="127">
        <f>(1+$AF$15/4*3)*(1+$AF$16)*(1+$AF$17)-1</f>
        <v>0.19534137800000018</v>
      </c>
      <c r="AM71" s="127">
        <f>(1+$AF$15/4*3)*(1+$AF$16)*(1+$AF$17)*(1+$AF$18)-1</f>
        <v>0.38300997434600026</v>
      </c>
      <c r="AN71" s="127">
        <f>(1+$AF$15/4*3)*(1+$AF$16)*(1+$AF$17)*(1+$AF$18)*(1+$AF$19)-1</f>
        <v>0.47982067255022032</v>
      </c>
      <c r="AO71" s="145">
        <f>(1+$AF$15/4*3)*(1+$AF$16)*(1+$AF$17)*(1+$AF$18)*(1+$AF$19)*(1+$AF$20)-1</f>
        <v>0.57600901626598455</v>
      </c>
    </row>
    <row r="72" spans="14:41" hidden="1">
      <c r="N72" s="176" t="s">
        <v>211</v>
      </c>
      <c r="O72" s="127">
        <f>(1+$O$16/4*3)*(1+$O$17)-1</f>
        <v>9.6204999999999874E-2</v>
      </c>
      <c r="P72" s="127">
        <f>(1+$O$16/4*3)*(1+$O$17)*(1+$O$18)-1</f>
        <v>0.25296231499999977</v>
      </c>
      <c r="Q72" s="127">
        <f>(1+$O$16/4*3)*(1+$O$17)*(1+$O$18)*(1+$O$19)-1</f>
        <v>0.33189894084499971</v>
      </c>
      <c r="R72" s="127">
        <f>(1+$O$16/4*3)*(1+$O$17)*(1+$O$18)*(1+$O$19)*(1+$O$20)-1</f>
        <v>0.39050249424217975</v>
      </c>
      <c r="S72" s="127">
        <f>(1+$O$16/4*3)*(1+$O$17)*(1+$O$18)*(1+$O$19)*(1+$O$20)*(1+$O$21)-1</f>
        <v>0.45446560897732002</v>
      </c>
      <c r="T72" s="181"/>
      <c r="U72" s="180"/>
      <c r="V72" s="132" t="s">
        <v>211</v>
      </c>
      <c r="W72" s="127">
        <f>(1+$P$16/4*3)*(1+$P$17)-1</f>
        <v>0.13297800000000004</v>
      </c>
      <c r="X72" s="127">
        <f>(1+$P$16/4*3)*(1+$P$17)*(1+$P$18)-1</f>
        <v>0.30858958999999997</v>
      </c>
      <c r="Y72" s="127">
        <f>(1+$P$16/4*3)*(1+$P$17)*(1+$P$18)*(1+$P$19)-1</f>
        <v>0.40149945088999983</v>
      </c>
      <c r="Z72" s="127">
        <f>(1+$P$16/4*3)*(1+$P$17)*(1+$P$18)*(1+$P$19)*(1+$P$20)-1</f>
        <v>0.45615792947470979</v>
      </c>
      <c r="AA72" s="171">
        <f>(1+$P$16/4*3)*(1+$P$17)*(1+$P$18)*(1+$P$19)*(1+$P$20)*(1+$P$21)-1</f>
        <v>0.51003577286527402</v>
      </c>
      <c r="AD72" s="151" t="s">
        <v>216</v>
      </c>
      <c r="AE72" s="127">
        <f>(1+$AE$15/4*2)*(1+$AE$16)*(1+$AE$17)-1</f>
        <v>0.13220932000000007</v>
      </c>
      <c r="AF72" s="127">
        <f>(1+$AE$15/4*2)*(1+$AE$16)*(1+$AE$17)*(1+$AE$18)-1</f>
        <v>0.24656246132000015</v>
      </c>
      <c r="AG72" s="127">
        <f>(1+$AE$15/4*2)*(1+$AE$16)*(1+$AE$17)*(1+$AE$18)*(1+$AE$19)-1</f>
        <v>0.33756152099636005</v>
      </c>
      <c r="AH72" s="127">
        <f>(1+$AE$15/4*2)*(1+$AE$16)*(1+$AE$17)*(1+$AE$18)*(1+$AE$19)*(1+$AE$20)-1</f>
        <v>0.42450301986112349</v>
      </c>
      <c r="AI72" s="186"/>
      <c r="AJ72" s="185"/>
      <c r="AK72" s="133" t="s">
        <v>216</v>
      </c>
      <c r="AL72" s="127">
        <f>(1+$AF$15/4*2)*(1+$AF$16)*(1+$AF$17)-1</f>
        <v>0.18066225200000008</v>
      </c>
      <c r="AM72" s="127">
        <f>(1+$AF$15/4*2)*(1+$AF$16)*(1+$AF$17)*(1+$AF$18)-1</f>
        <v>0.36602622556400011</v>
      </c>
      <c r="AN72" s="127">
        <f>(1+$AF$15/4*2)*(1+$AF$16)*(1+$AF$17)*(1+$AF$18)*(1+$AF$19)-1</f>
        <v>0.46164806135348013</v>
      </c>
      <c r="AO72" s="145">
        <f>(1+$AF$15/4*2)*(1+$AF$16)*(1+$AF$17)*(1+$AF$18)*(1+$AF$19)*(1+$AF$20)-1</f>
        <v>0.5566551853414563</v>
      </c>
    </row>
    <row r="73" spans="14:41" hidden="1">
      <c r="N73" s="176" t="s">
        <v>212</v>
      </c>
      <c r="O73" s="127">
        <f>(1+$O$16/4*2)*(1+$O$17)-1</f>
        <v>8.0470000000000041E-2</v>
      </c>
      <c r="P73" s="127">
        <f>(1+$O$16/4*2)*(1+$O$17)*(1+$O$18)-1</f>
        <v>0.23497721000000005</v>
      </c>
      <c r="Q73" s="127">
        <f>(1+$O$16/4*2)*(1+$O$17)*(1+$O$18)*(1+$O$19)-1</f>
        <v>0.31278077422999995</v>
      </c>
      <c r="R73" s="127">
        <f>(1+$O$16/4*2)*(1+$O$17)*(1+$O$18)*(1+$O$19)*(1+$O$20)-1</f>
        <v>0.37054312829612002</v>
      </c>
      <c r="S73" s="127">
        <f>(1+$O$16/4*2)*(1+$O$17)*(1+$O$18)*(1+$O$19)*(1+$O$20)*(1+$O$21)-1</f>
        <v>0.43358811219774163</v>
      </c>
      <c r="T73" s="181"/>
      <c r="U73" s="180"/>
      <c r="V73" s="132" t="s">
        <v>212</v>
      </c>
      <c r="W73" s="127">
        <f>(1+$P$16/4*2)*(1+$P$17)-1</f>
        <v>0.1146520000000002</v>
      </c>
      <c r="X73" s="127">
        <f>(1+$P$16/4*2)*(1+$P$17)*(1+$P$18)-1</f>
        <v>0.28742306000000029</v>
      </c>
      <c r="Y73" s="127">
        <f>(1+$P$16/4*2)*(1+$P$17)*(1+$P$18)*(1+$P$19)-1</f>
        <v>0.37883009726000028</v>
      </c>
      <c r="Z73" s="127">
        <f>(1+$P$16/4*2)*(1+$P$17)*(1+$P$18)*(1+$P$19)*(1+$P$20)-1</f>
        <v>0.43260447105314026</v>
      </c>
      <c r="AA73" s="171">
        <f>(1+$P$16/4*2)*(1+$P$17)*(1+$P$18)*(1+$P$19)*(1+$P$20)*(1+$P$21)-1</f>
        <v>0.48561083648210635</v>
      </c>
      <c r="AD73" s="151" t="s">
        <v>217</v>
      </c>
      <c r="AE73" s="127">
        <f>(1+$AE$15/4*1)*(1+$AE$16)*(1+$AE$17)-1</f>
        <v>0.11359465999999996</v>
      </c>
      <c r="AF73" s="127">
        <f>(1+$AE$15/4*1)*(1+$AE$16)*(1+$AE$17)*(1+$AE$18)-1</f>
        <v>0.22606772065999992</v>
      </c>
      <c r="AG73" s="127">
        <f>(1+$AE$15/4*1)*(1+$AE$16)*(1+$AE$17)*(1+$AE$18)*(1+$AE$19)-1</f>
        <v>0.31557066426817992</v>
      </c>
      <c r="AH73" s="127">
        <f>(1+$AE$15/4*1)*(1+$AE$16)*(1+$AE$17)*(1+$AE$18)*(1+$AE$19)*(1+$AE$20)-1</f>
        <v>0.4010827574456115</v>
      </c>
      <c r="AI73" s="186"/>
      <c r="AJ73" s="185"/>
      <c r="AK73" s="133" t="s">
        <v>217</v>
      </c>
      <c r="AL73" s="127">
        <f>(1+$AF$15/4*1)*(1+$AF$16)*(1+$AF$17)-1</f>
        <v>0.1659831260000002</v>
      </c>
      <c r="AM73" s="127">
        <f>(1+$AF$15/4*1)*(1+$AF$16)*(1+$AF$17)*(1+$AF$18)-1</f>
        <v>0.34904247678200018</v>
      </c>
      <c r="AN73" s="127">
        <f>(1+$AF$15/4*1)*(1+$AF$16)*(1+$AF$17)*(1+$AF$18)*(1+$AF$19)-1</f>
        <v>0.44347545015674017</v>
      </c>
      <c r="AO73" s="145">
        <f>(1+$AF$15/4*1)*(1+$AF$16)*(1+$AF$17)*(1+$AF$18)*(1+$AF$19)*(1+$AF$20)-1</f>
        <v>0.53730135441692828</v>
      </c>
    </row>
    <row r="74" spans="14:41" hidden="1">
      <c r="N74" s="176" t="s">
        <v>213</v>
      </c>
      <c r="O74" s="127">
        <f>(1+$O$16/4*1)*(1+$O$17)-1</f>
        <v>6.4734999999999765E-2</v>
      </c>
      <c r="P74" s="127">
        <f>(1+$O$16/4*1)*(1+$O$17)*(1+$O$18)-1</f>
        <v>0.21699210499999966</v>
      </c>
      <c r="Q74" s="127">
        <f>(1+$O$16/4*1)*(1+$O$17)*(1+$O$18)*(1+$O$19)-1</f>
        <v>0.29366260761499952</v>
      </c>
      <c r="R74" s="127">
        <f>(1+$O$16/4*1)*(1+$O$17)*(1+$O$18)*(1+$O$19)*(1+$O$20)-1</f>
        <v>0.35058376235005961</v>
      </c>
      <c r="S74" s="127">
        <f>(1+$O$16/4*1)*(1+$O$17)*(1+$O$18)*(1+$O$19)*(1+$O$20)*(1+$O$21)-1</f>
        <v>0.41271061541816234</v>
      </c>
      <c r="T74" s="181"/>
      <c r="U74" s="180"/>
      <c r="V74" s="132" t="s">
        <v>213</v>
      </c>
      <c r="W74" s="127">
        <f>(1+$P$16/4*1)*(1+$P$17)-1</f>
        <v>9.6325999999999912E-2</v>
      </c>
      <c r="X74" s="127">
        <f>(1+$P$16/4*1)*(1+$P$17)*(1+$P$18)-1</f>
        <v>0.26625652999999994</v>
      </c>
      <c r="Y74" s="127">
        <f>(1+$P$16/4*1)*(1+$P$17)*(1+$P$18)*(1+$P$19)-1</f>
        <v>0.35616074362999983</v>
      </c>
      <c r="Z74" s="127">
        <f>(1+$P$16/4*1)*(1+$P$17)*(1+$P$18)*(1+$P$19)*(1+$P$20)-1</f>
        <v>0.40905101263156962</v>
      </c>
      <c r="AA74" s="171">
        <f>(1+$P$16/4*1)*(1+$P$17)*(1+$P$18)*(1+$P$19)*(1+$P$20)*(1+$P$21)-1</f>
        <v>0.46118590009893756</v>
      </c>
      <c r="AD74" s="151" t="s">
        <v>218</v>
      </c>
      <c r="AE74" s="127">
        <f>(1+$AE$16)*(1+$AE$17)-1</f>
        <v>9.4980000000000064E-2</v>
      </c>
      <c r="AF74" s="127">
        <f>(1+$AE$16)*(1+$AE$17)*(1+$AE$18)-1</f>
        <v>0.20557298000000013</v>
      </c>
      <c r="AG74" s="127">
        <f>(1+$AE$16)*(1+$AE$17)*(1+$AE$18)*(1+$AE$19)-1</f>
        <v>0.29357980754000002</v>
      </c>
      <c r="AH74" s="127">
        <f>(1+$AE$16)*(1+$AE$17)*(1+$AE$18)*(1+$AE$19)*(1+$AE$20)-1</f>
        <v>0.37766249503009997</v>
      </c>
      <c r="AI74" s="186"/>
      <c r="AJ74" s="185"/>
      <c r="AK74" s="133" t="s">
        <v>218</v>
      </c>
      <c r="AL74" s="127">
        <f>(1+$AF$16)*(1+$AF$17)-1</f>
        <v>0.15130400000000011</v>
      </c>
      <c r="AM74" s="127">
        <f>(1+$AF$16)*(1+$AF$17)*(1+$AF$18)-1</f>
        <v>0.33205872800000025</v>
      </c>
      <c r="AN74" s="127">
        <f>(1+$AF$16)*(1+$AF$17)*(1+$AF$18)*(1+$AF$19)-1</f>
        <v>0.42530283896000043</v>
      </c>
      <c r="AO74" s="145">
        <f>(1+$AF$16)*(1+$AF$17)*(1+$AF$18)*(1+$AF$19)*(1+$AF$20)-1</f>
        <v>0.51794752349240047</v>
      </c>
    </row>
    <row r="75" spans="14:41" hidden="1">
      <c r="N75" s="176" t="s">
        <v>214</v>
      </c>
      <c r="O75" s="127">
        <f>$O$17</f>
        <v>4.9000000000000002E-2</v>
      </c>
      <c r="P75" s="127">
        <f>(1+$O$17)*(1+$O$18)-1</f>
        <v>0.19900699999999993</v>
      </c>
      <c r="Q75" s="127">
        <f>(1+$O$17)*(1+$O$18)*(1+$O$19)-1</f>
        <v>0.27454444099999997</v>
      </c>
      <c r="R75" s="127">
        <f>(1+$O$17)*(1+$O$18)*(1+$O$19)*(1+$O$20)-1</f>
        <v>0.3306243964040001</v>
      </c>
      <c r="S75" s="127">
        <f>(1+$O$17)*(1+$O$18)*(1+$O$19)*(1+$O$20)*(1+$O$21)-1</f>
        <v>0.39183311863858417</v>
      </c>
      <c r="T75" s="181"/>
      <c r="U75" s="180"/>
      <c r="V75" s="132" t="s">
        <v>214</v>
      </c>
      <c r="W75" s="127">
        <f>$P$17</f>
        <v>7.8E-2</v>
      </c>
      <c r="X75" s="127">
        <f>(1+$P$17)*(1+$P$18)-1</f>
        <v>0.24509000000000003</v>
      </c>
      <c r="Y75" s="127">
        <f>(1+$P$17)*(1+$P$18)*(1+$P$19)-1</f>
        <v>0.33349139000000005</v>
      </c>
      <c r="Z75" s="127">
        <f>(1+$P$17)*(1+$P$18)*(1+$P$19)*(1+$P$20)-1</f>
        <v>0.38549755420999987</v>
      </c>
      <c r="AA75" s="171">
        <f>(1+$P$17)*(1+$P$18)*(1+$P$19)*(1+$P$20)*(1+$P$21)-1</f>
        <v>0.43676096371576967</v>
      </c>
      <c r="AD75" s="152" t="s">
        <v>219</v>
      </c>
      <c r="AE75" s="127"/>
      <c r="AF75" s="127"/>
      <c r="AG75" s="127"/>
      <c r="AH75" s="127"/>
      <c r="AI75" s="186"/>
      <c r="AJ75" s="185"/>
      <c r="AK75" s="134" t="s">
        <v>219</v>
      </c>
      <c r="AL75" s="127"/>
      <c r="AM75" s="127"/>
      <c r="AN75" s="127"/>
      <c r="AO75" s="145"/>
    </row>
    <row r="76" spans="14:41" hidden="1">
      <c r="N76" s="177"/>
      <c r="O76" s="124"/>
      <c r="P76" s="124"/>
      <c r="Q76" s="124"/>
      <c r="R76" s="124"/>
      <c r="S76" s="124"/>
      <c r="T76" s="178"/>
      <c r="U76" s="180"/>
      <c r="V76" s="124"/>
      <c r="W76" s="124"/>
      <c r="X76" s="124"/>
      <c r="Y76" s="124"/>
      <c r="Z76" s="124"/>
      <c r="AA76" s="178"/>
      <c r="AD76" s="153"/>
      <c r="AE76" s="124"/>
      <c r="AF76" s="124"/>
      <c r="AG76" s="124"/>
      <c r="AH76" s="124"/>
      <c r="AI76" s="154"/>
      <c r="AJ76" s="185"/>
      <c r="AK76" s="124"/>
      <c r="AL76" s="124"/>
      <c r="AM76" s="124"/>
      <c r="AN76" s="124"/>
      <c r="AO76" s="154"/>
    </row>
    <row r="77" spans="14:41" hidden="1">
      <c r="N77" s="168"/>
      <c r="O77" s="125">
        <v>2015</v>
      </c>
      <c r="P77" s="125">
        <v>2016</v>
      </c>
      <c r="Q77" s="125">
        <v>2017</v>
      </c>
      <c r="R77" s="125">
        <v>2018</v>
      </c>
      <c r="S77" s="125">
        <v>2019</v>
      </c>
      <c r="T77" s="179"/>
      <c r="U77" s="180"/>
      <c r="V77" s="125"/>
      <c r="W77" s="125">
        <v>2015</v>
      </c>
      <c r="X77" s="125">
        <v>2016</v>
      </c>
      <c r="Y77" s="125">
        <v>2017</v>
      </c>
      <c r="Z77" s="125">
        <v>2018</v>
      </c>
      <c r="AA77" s="169">
        <v>2019</v>
      </c>
      <c r="AD77" s="142"/>
      <c r="AE77" s="125">
        <v>2015</v>
      </c>
      <c r="AF77" s="125">
        <v>2016</v>
      </c>
      <c r="AG77" s="125">
        <v>2017</v>
      </c>
      <c r="AH77" s="125">
        <v>2018</v>
      </c>
      <c r="AI77" s="184"/>
      <c r="AJ77" s="185"/>
      <c r="AK77" s="125"/>
      <c r="AL77" s="125">
        <v>2015</v>
      </c>
      <c r="AM77" s="125">
        <v>2016</v>
      </c>
      <c r="AN77" s="125">
        <v>2017</v>
      </c>
      <c r="AO77" s="143">
        <v>2018</v>
      </c>
    </row>
    <row r="78" spans="14:41" hidden="1">
      <c r="N78" s="168">
        <v>1</v>
      </c>
      <c r="O78" s="125">
        <v>2</v>
      </c>
      <c r="P78" s="125">
        <v>3</v>
      </c>
      <c r="Q78" s="125">
        <v>4</v>
      </c>
      <c r="R78" s="125">
        <v>5</v>
      </c>
      <c r="S78" s="125">
        <v>6</v>
      </c>
      <c r="T78" s="179"/>
      <c r="U78" s="180"/>
      <c r="V78" s="125">
        <v>1</v>
      </c>
      <c r="W78" s="125">
        <v>2</v>
      </c>
      <c r="X78" s="125">
        <v>3</v>
      </c>
      <c r="Y78" s="125">
        <v>4</v>
      </c>
      <c r="Z78" s="125">
        <v>5</v>
      </c>
      <c r="AA78" s="169">
        <v>6</v>
      </c>
      <c r="AD78" s="142">
        <v>1</v>
      </c>
      <c r="AE78" s="125">
        <v>2</v>
      </c>
      <c r="AF78" s="125">
        <v>3</v>
      </c>
      <c r="AG78" s="125">
        <v>4</v>
      </c>
      <c r="AH78" s="125">
        <v>5</v>
      </c>
      <c r="AI78" s="184"/>
      <c r="AJ78" s="185"/>
      <c r="AK78" s="125">
        <v>1</v>
      </c>
      <c r="AL78" s="125">
        <v>2</v>
      </c>
      <c r="AM78" s="125">
        <v>3</v>
      </c>
      <c r="AN78" s="125">
        <v>4</v>
      </c>
      <c r="AO78" s="143">
        <v>5</v>
      </c>
    </row>
    <row r="79" spans="14:41" hidden="1">
      <c r="N79" s="364" t="s">
        <v>241</v>
      </c>
      <c r="O79" s="125"/>
      <c r="P79" s="125"/>
      <c r="Q79" s="127">
        <f>$O$20/12*5</f>
        <v>1.8333333333333333E-2</v>
      </c>
      <c r="R79" s="125"/>
      <c r="S79" s="125"/>
      <c r="T79" s="181"/>
      <c r="U79" s="180"/>
      <c r="V79" s="365" t="s">
        <v>241</v>
      </c>
      <c r="W79" s="125"/>
      <c r="X79" s="125"/>
      <c r="Y79" s="127">
        <f>$P$20/12*5</f>
        <v>1.6250000000000001E-2</v>
      </c>
      <c r="Z79" s="125"/>
      <c r="AA79" s="169"/>
      <c r="AD79" s="144" t="s">
        <v>224</v>
      </c>
      <c r="AE79" s="127"/>
      <c r="AF79" s="127">
        <f>$AE$19/12*7</f>
        <v>4.2583333333333334E-2</v>
      </c>
      <c r="AG79" s="127"/>
      <c r="AH79" s="127"/>
      <c r="AI79" s="186"/>
      <c r="AJ79" s="185"/>
      <c r="AK79" s="126" t="s">
        <v>224</v>
      </c>
      <c r="AL79" s="127"/>
      <c r="AM79" s="127">
        <f>$AF$19/12*7</f>
        <v>4.0833333333333333E-2</v>
      </c>
      <c r="AN79" s="127"/>
      <c r="AO79" s="145"/>
    </row>
    <row r="80" spans="14:41" hidden="1">
      <c r="N80" s="364" t="s">
        <v>242</v>
      </c>
      <c r="O80" s="125"/>
      <c r="P80" s="125"/>
      <c r="Q80" s="127">
        <f>$O$20/4*1</f>
        <v>1.0999999999999999E-2</v>
      </c>
      <c r="R80" s="125"/>
      <c r="S80" s="125"/>
      <c r="T80" s="181"/>
      <c r="U80" s="180"/>
      <c r="V80" s="365" t="s">
        <v>242</v>
      </c>
      <c r="W80" s="125"/>
      <c r="X80" s="125"/>
      <c r="Y80" s="127">
        <f>$P$20/4*1</f>
        <v>9.75E-3</v>
      </c>
      <c r="Z80" s="125"/>
      <c r="AA80" s="169"/>
      <c r="AD80" s="146" t="s">
        <v>200</v>
      </c>
      <c r="AE80" s="127"/>
      <c r="AF80" s="127">
        <f>$AE$19/4*1</f>
        <v>1.8249999999999999E-2</v>
      </c>
      <c r="AG80" s="127"/>
      <c r="AH80" s="127"/>
      <c r="AI80" s="186"/>
      <c r="AJ80" s="185"/>
      <c r="AK80" s="128" t="s">
        <v>200</v>
      </c>
      <c r="AL80" s="127"/>
      <c r="AM80" s="127">
        <f>$AF$19/4*1</f>
        <v>1.7500000000000002E-2</v>
      </c>
      <c r="AN80" s="127"/>
      <c r="AO80" s="145"/>
    </row>
    <row r="81" spans="14:41" hidden="1">
      <c r="N81" s="364" t="s">
        <v>243</v>
      </c>
      <c r="O81" s="125"/>
      <c r="P81" s="125"/>
      <c r="Q81" s="127">
        <f>$O$20/4*2</f>
        <v>2.1999999999999999E-2</v>
      </c>
      <c r="R81" s="125"/>
      <c r="S81" s="125"/>
      <c r="T81" s="181"/>
      <c r="U81" s="180"/>
      <c r="V81" s="365" t="s">
        <v>243</v>
      </c>
      <c r="W81" s="125"/>
      <c r="X81" s="125"/>
      <c r="Y81" s="127">
        <f>$P$20/4*2</f>
        <v>1.95E-2</v>
      </c>
      <c r="Z81" s="125"/>
      <c r="AA81" s="169"/>
      <c r="AD81" s="146" t="s">
        <v>201</v>
      </c>
      <c r="AE81" s="127"/>
      <c r="AF81" s="127">
        <f>$AE$19/4*2</f>
        <v>3.6499999999999998E-2</v>
      </c>
      <c r="AG81" s="127"/>
      <c r="AH81" s="127"/>
      <c r="AI81" s="186"/>
      <c r="AJ81" s="185"/>
      <c r="AK81" s="128" t="s">
        <v>201</v>
      </c>
      <c r="AL81" s="127"/>
      <c r="AM81" s="127">
        <f>$AF$19/4*2</f>
        <v>3.5000000000000003E-2</v>
      </c>
      <c r="AN81" s="127"/>
      <c r="AO81" s="145"/>
    </row>
    <row r="82" spans="14:41" hidden="1">
      <c r="N82" s="364" t="s">
        <v>244</v>
      </c>
      <c r="O82" s="125"/>
      <c r="P82" s="125"/>
      <c r="Q82" s="127">
        <f>$O$20/4*3</f>
        <v>3.3000000000000002E-2</v>
      </c>
      <c r="R82" s="125"/>
      <c r="S82" s="125"/>
      <c r="T82" s="181"/>
      <c r="U82" s="180"/>
      <c r="V82" s="365" t="s">
        <v>244</v>
      </c>
      <c r="W82" s="125"/>
      <c r="X82" s="125"/>
      <c r="Y82" s="127">
        <f>$P$20/4*3</f>
        <v>2.9249999999999998E-2</v>
      </c>
      <c r="Z82" s="125"/>
      <c r="AA82" s="169"/>
      <c r="AD82" s="146" t="s">
        <v>202</v>
      </c>
      <c r="AE82" s="127"/>
      <c r="AF82" s="127">
        <f>$AE$19/4*3</f>
        <v>5.4749999999999993E-2</v>
      </c>
      <c r="AG82" s="127"/>
      <c r="AH82" s="127"/>
      <c r="AI82" s="186"/>
      <c r="AJ82" s="185"/>
      <c r="AK82" s="128" t="s">
        <v>202</v>
      </c>
      <c r="AL82" s="127"/>
      <c r="AM82" s="127">
        <f>$AF$19/4*3</f>
        <v>5.2500000000000005E-2</v>
      </c>
      <c r="AN82" s="127"/>
      <c r="AO82" s="145"/>
    </row>
    <row r="83" spans="14:41" hidden="1">
      <c r="N83" s="364" t="s">
        <v>245</v>
      </c>
      <c r="O83" s="125"/>
      <c r="P83" s="125"/>
      <c r="Q83" s="127">
        <f>$O$20</f>
        <v>4.3999999999999997E-2</v>
      </c>
      <c r="R83" s="125"/>
      <c r="S83" s="125"/>
      <c r="T83" s="181"/>
      <c r="U83" s="180"/>
      <c r="V83" s="365" t="s">
        <v>245</v>
      </c>
      <c r="W83" s="125"/>
      <c r="X83" s="125"/>
      <c r="Y83" s="127">
        <f>$P$20</f>
        <v>3.9E-2</v>
      </c>
      <c r="Z83" s="125"/>
      <c r="AA83" s="169"/>
      <c r="AD83" s="146" t="s">
        <v>203</v>
      </c>
      <c r="AE83" s="127"/>
      <c r="AF83" s="127">
        <f>$AE$19</f>
        <v>7.2999999999999995E-2</v>
      </c>
      <c r="AG83" s="127"/>
      <c r="AH83" s="127"/>
      <c r="AI83" s="186"/>
      <c r="AJ83" s="185"/>
      <c r="AK83" s="128" t="s">
        <v>203</v>
      </c>
      <c r="AL83" s="127"/>
      <c r="AM83" s="127">
        <f>$AF$19</f>
        <v>7.0000000000000007E-2</v>
      </c>
      <c r="AN83" s="127"/>
      <c r="AO83" s="145"/>
    </row>
    <row r="84" spans="14:41" hidden="1">
      <c r="N84" s="170" t="s">
        <v>239</v>
      </c>
      <c r="O84" s="127"/>
      <c r="P84" s="127">
        <f>$O$19/12*5</f>
        <v>2.6250000000000002E-2</v>
      </c>
      <c r="Q84" s="127"/>
      <c r="R84" s="127"/>
      <c r="S84" s="127"/>
      <c r="T84" s="181"/>
      <c r="U84" s="180"/>
      <c r="V84" s="126" t="s">
        <v>239</v>
      </c>
      <c r="W84" s="127"/>
      <c r="X84" s="127">
        <f>$P$19/12*5</f>
        <v>2.9583333333333333E-2</v>
      </c>
      <c r="Y84" s="127"/>
      <c r="Z84" s="127"/>
      <c r="AA84" s="171"/>
      <c r="AD84" s="147" t="s">
        <v>225</v>
      </c>
      <c r="AE84" s="127">
        <f>$AE$18/12*7</f>
        <v>5.8916666666666673E-2</v>
      </c>
      <c r="AF84" s="127"/>
      <c r="AG84" s="127"/>
      <c r="AH84" s="127"/>
      <c r="AI84" s="186"/>
      <c r="AJ84" s="185"/>
      <c r="AK84" s="129" t="s">
        <v>225</v>
      </c>
      <c r="AL84" s="127">
        <f>$AF$18/12*7</f>
        <v>9.1583333333333336E-2</v>
      </c>
      <c r="AM84" s="127"/>
      <c r="AN84" s="127"/>
      <c r="AO84" s="145"/>
    </row>
    <row r="85" spans="14:41" ht="14.25" hidden="1" customHeight="1">
      <c r="N85" s="172" t="s">
        <v>200</v>
      </c>
      <c r="O85" s="127"/>
      <c r="P85" s="127">
        <f>$O$19/4*1</f>
        <v>1.575E-2</v>
      </c>
      <c r="Q85" s="127"/>
      <c r="R85" s="127"/>
      <c r="S85" s="127"/>
      <c r="T85" s="181"/>
      <c r="U85" s="180"/>
      <c r="V85" s="128" t="s">
        <v>200</v>
      </c>
      <c r="W85" s="127"/>
      <c r="X85" s="127">
        <f>$P$19/4*1</f>
        <v>1.7749999999999998E-2</v>
      </c>
      <c r="Y85" s="127"/>
      <c r="Z85" s="127"/>
      <c r="AA85" s="171"/>
      <c r="AD85" s="148" t="s">
        <v>204</v>
      </c>
      <c r="AE85" s="127">
        <f>$AE$18/4*1</f>
        <v>2.5250000000000002E-2</v>
      </c>
      <c r="AF85" s="127"/>
      <c r="AG85" s="127"/>
      <c r="AH85" s="127"/>
      <c r="AI85" s="186"/>
      <c r="AJ85" s="185"/>
      <c r="AK85" s="130" t="s">
        <v>204</v>
      </c>
      <c r="AL85" s="127">
        <f>$AF$18/4*1</f>
        <v>3.925E-2</v>
      </c>
      <c r="AM85" s="127"/>
      <c r="AN85" s="127"/>
      <c r="AO85" s="145"/>
    </row>
    <row r="86" spans="14:41" hidden="1">
      <c r="N86" s="172" t="s">
        <v>201</v>
      </c>
      <c r="O86" s="127"/>
      <c r="P86" s="127">
        <f>$O$19/4*2</f>
        <v>3.15E-2</v>
      </c>
      <c r="Q86" s="127"/>
      <c r="R86" s="127"/>
      <c r="S86" s="127"/>
      <c r="T86" s="181"/>
      <c r="U86" s="180"/>
      <c r="V86" s="128" t="s">
        <v>201</v>
      </c>
      <c r="W86" s="127"/>
      <c r="X86" s="127">
        <f>$P$19/4*2</f>
        <v>3.5499999999999997E-2</v>
      </c>
      <c r="Y86" s="127"/>
      <c r="Z86" s="127"/>
      <c r="AA86" s="171"/>
      <c r="AD86" s="148" t="s">
        <v>205</v>
      </c>
      <c r="AE86" s="127">
        <f>$AE$18/4*2</f>
        <v>5.0500000000000003E-2</v>
      </c>
      <c r="AF86" s="127"/>
      <c r="AG86" s="127"/>
      <c r="AH86" s="127"/>
      <c r="AI86" s="186"/>
      <c r="AJ86" s="185"/>
      <c r="AK86" s="130" t="s">
        <v>205</v>
      </c>
      <c r="AL86" s="127">
        <f>$AF$18/4*2</f>
        <v>7.85E-2</v>
      </c>
      <c r="AM86" s="127"/>
      <c r="AN86" s="127"/>
      <c r="AO86" s="145"/>
    </row>
    <row r="87" spans="14:41" hidden="1">
      <c r="N87" s="172" t="s">
        <v>202</v>
      </c>
      <c r="O87" s="127"/>
      <c r="P87" s="127">
        <f>$O$19/4*3</f>
        <v>4.725E-2</v>
      </c>
      <c r="Q87" s="127"/>
      <c r="R87" s="127"/>
      <c r="S87" s="127"/>
      <c r="T87" s="181"/>
      <c r="U87" s="180"/>
      <c r="V87" s="128" t="s">
        <v>202</v>
      </c>
      <c r="W87" s="127"/>
      <c r="X87" s="127">
        <f>$P$19/4*3</f>
        <v>5.3249999999999992E-2</v>
      </c>
      <c r="Y87" s="127"/>
      <c r="Z87" s="127"/>
      <c r="AA87" s="171"/>
      <c r="AD87" s="148" t="s">
        <v>206</v>
      </c>
      <c r="AE87" s="127">
        <f>$AE$18/4*3</f>
        <v>7.5750000000000012E-2</v>
      </c>
      <c r="AF87" s="127"/>
      <c r="AG87" s="127"/>
      <c r="AH87" s="127"/>
      <c r="AI87" s="186"/>
      <c r="AJ87" s="185"/>
      <c r="AK87" s="130" t="s">
        <v>206</v>
      </c>
      <c r="AL87" s="127">
        <f>$AF$18/4*3</f>
        <v>0.11774999999999999</v>
      </c>
      <c r="AM87" s="127"/>
      <c r="AN87" s="127"/>
      <c r="AO87" s="145"/>
    </row>
    <row r="88" spans="14:41" hidden="1">
      <c r="N88" s="172" t="s">
        <v>203</v>
      </c>
      <c r="O88" s="127"/>
      <c r="P88" s="127">
        <f>$O$19</f>
        <v>6.3E-2</v>
      </c>
      <c r="Q88" s="127"/>
      <c r="R88" s="127"/>
      <c r="S88" s="127"/>
      <c r="T88" s="181"/>
      <c r="U88" s="180"/>
      <c r="V88" s="128" t="s">
        <v>203</v>
      </c>
      <c r="W88" s="127"/>
      <c r="X88" s="127">
        <f>$P$19</f>
        <v>7.0999999999999994E-2</v>
      </c>
      <c r="Y88" s="127"/>
      <c r="Z88" s="127"/>
      <c r="AA88" s="171"/>
      <c r="AD88" s="148" t="s">
        <v>197</v>
      </c>
      <c r="AE88" s="127">
        <f>$AE$18</f>
        <v>0.10100000000000001</v>
      </c>
      <c r="AF88" s="127"/>
      <c r="AG88" s="127"/>
      <c r="AH88" s="127"/>
      <c r="AI88" s="186"/>
      <c r="AJ88" s="185"/>
      <c r="AK88" s="130" t="s">
        <v>197</v>
      </c>
      <c r="AL88" s="127">
        <f>$AF$18</f>
        <v>0.157</v>
      </c>
      <c r="AM88" s="127"/>
      <c r="AN88" s="127"/>
      <c r="AO88" s="145"/>
    </row>
    <row r="89" spans="14:41" hidden="1">
      <c r="N89" s="173" t="s">
        <v>225</v>
      </c>
      <c r="O89" s="127">
        <f>$O$18/12*7</f>
        <v>8.3416666666666667E-2</v>
      </c>
      <c r="P89" s="127"/>
      <c r="Q89" s="127"/>
      <c r="R89" s="127"/>
      <c r="S89" s="127"/>
      <c r="T89" s="181"/>
      <c r="U89" s="180"/>
      <c r="V89" s="129" t="s">
        <v>225</v>
      </c>
      <c r="W89" s="127">
        <f>$P$18/12*7</f>
        <v>9.0416666666666673E-2</v>
      </c>
      <c r="X89" s="127"/>
      <c r="Y89" s="127"/>
      <c r="Z89" s="127"/>
      <c r="AA89" s="171"/>
      <c r="AD89" s="149" t="s">
        <v>207</v>
      </c>
      <c r="AE89" s="127"/>
      <c r="AF89" s="127"/>
      <c r="AG89" s="127"/>
      <c r="AH89" s="127"/>
      <c r="AI89" s="186"/>
      <c r="AJ89" s="185"/>
      <c r="AK89" s="131" t="s">
        <v>207</v>
      </c>
      <c r="AL89" s="127"/>
      <c r="AM89" s="127"/>
      <c r="AN89" s="127"/>
      <c r="AO89" s="145"/>
    </row>
    <row r="90" spans="14:41" hidden="1">
      <c r="N90" s="174" t="s">
        <v>204</v>
      </c>
      <c r="O90" s="127">
        <f>$O$18/4*1</f>
        <v>3.5749999999999997E-2</v>
      </c>
      <c r="P90" s="127"/>
      <c r="Q90" s="127"/>
      <c r="R90" s="127"/>
      <c r="S90" s="127"/>
      <c r="T90" s="181"/>
      <c r="U90" s="180"/>
      <c r="V90" s="130" t="s">
        <v>204</v>
      </c>
      <c r="W90" s="127">
        <f>$P$18/4*1</f>
        <v>3.875E-2</v>
      </c>
      <c r="X90" s="127"/>
      <c r="Y90" s="127"/>
      <c r="Z90" s="127"/>
      <c r="AA90" s="171"/>
      <c r="AD90" s="149" t="s">
        <v>208</v>
      </c>
      <c r="AE90" s="127"/>
      <c r="AF90" s="127"/>
      <c r="AG90" s="127"/>
      <c r="AH90" s="127"/>
      <c r="AI90" s="186"/>
      <c r="AJ90" s="185"/>
      <c r="AK90" s="131" t="s">
        <v>208</v>
      </c>
      <c r="AL90" s="127"/>
      <c r="AM90" s="127"/>
      <c r="AN90" s="127"/>
      <c r="AO90" s="145"/>
    </row>
    <row r="91" spans="14:41" hidden="1">
      <c r="N91" s="174" t="s">
        <v>205</v>
      </c>
      <c r="O91" s="127">
        <f>$O$18/4*2</f>
        <v>7.1499999999999994E-2</v>
      </c>
      <c r="P91" s="127"/>
      <c r="Q91" s="127"/>
      <c r="R91" s="127"/>
      <c r="S91" s="127"/>
      <c r="T91" s="181"/>
      <c r="U91" s="180"/>
      <c r="V91" s="130" t="s">
        <v>205</v>
      </c>
      <c r="W91" s="127">
        <f>$P$18/4*2</f>
        <v>7.7499999999999999E-2</v>
      </c>
      <c r="X91" s="127"/>
      <c r="Y91" s="127"/>
      <c r="Z91" s="127"/>
      <c r="AA91" s="171"/>
      <c r="AD91" s="149" t="s">
        <v>209</v>
      </c>
      <c r="AE91" s="127"/>
      <c r="AF91" s="127"/>
      <c r="AG91" s="127"/>
      <c r="AH91" s="127"/>
      <c r="AI91" s="186"/>
      <c r="AJ91" s="185"/>
      <c r="AK91" s="131" t="s">
        <v>209</v>
      </c>
      <c r="AL91" s="127"/>
      <c r="AM91" s="127"/>
      <c r="AN91" s="127"/>
      <c r="AO91" s="145"/>
    </row>
    <row r="92" spans="14:41" hidden="1">
      <c r="N92" s="174" t="s">
        <v>206</v>
      </c>
      <c r="O92" s="127">
        <f>$O$18/4*3</f>
        <v>0.10724999999999998</v>
      </c>
      <c r="P92" s="127"/>
      <c r="Q92" s="127"/>
      <c r="R92" s="127"/>
      <c r="S92" s="127"/>
      <c r="T92" s="181"/>
      <c r="U92" s="180"/>
      <c r="V92" s="130" t="s">
        <v>206</v>
      </c>
      <c r="W92" s="127">
        <f>$P$18/4*3</f>
        <v>0.11624999999999999</v>
      </c>
      <c r="X92" s="127"/>
      <c r="Y92" s="127"/>
      <c r="Z92" s="127"/>
      <c r="AA92" s="171"/>
      <c r="AD92" s="149" t="s">
        <v>210</v>
      </c>
      <c r="AE92" s="127"/>
      <c r="AF92" s="127"/>
      <c r="AG92" s="127"/>
      <c r="AH92" s="127"/>
      <c r="AI92" s="186"/>
      <c r="AJ92" s="185"/>
      <c r="AK92" s="131" t="s">
        <v>210</v>
      </c>
      <c r="AL92" s="127"/>
      <c r="AM92" s="127"/>
      <c r="AN92" s="127"/>
      <c r="AO92" s="145"/>
    </row>
    <row r="93" spans="14:41" hidden="1">
      <c r="N93" s="174" t="s">
        <v>197</v>
      </c>
      <c r="O93" s="127">
        <f>$O$18</f>
        <v>0.14299999999999999</v>
      </c>
      <c r="P93" s="127"/>
      <c r="Q93" s="127"/>
      <c r="R93" s="127"/>
      <c r="S93" s="127"/>
      <c r="T93" s="181"/>
      <c r="U93" s="180"/>
      <c r="V93" s="130" t="s">
        <v>197</v>
      </c>
      <c r="W93" s="127">
        <f>$P$18</f>
        <v>0.155</v>
      </c>
      <c r="X93" s="127"/>
      <c r="Y93" s="127"/>
      <c r="Z93" s="127"/>
      <c r="AA93" s="171"/>
      <c r="AD93" s="150" t="s">
        <v>211</v>
      </c>
      <c r="AE93" s="127"/>
      <c r="AF93" s="127"/>
      <c r="AG93" s="127"/>
      <c r="AH93" s="127"/>
      <c r="AI93" s="186"/>
      <c r="AJ93" s="185"/>
      <c r="AK93" s="132" t="s">
        <v>211</v>
      </c>
      <c r="AL93" s="127"/>
      <c r="AM93" s="127"/>
      <c r="AN93" s="127"/>
      <c r="AO93" s="145"/>
    </row>
    <row r="94" spans="14:41" hidden="1">
      <c r="N94" s="175" t="s">
        <v>207</v>
      </c>
      <c r="O94" s="127"/>
      <c r="P94" s="127"/>
      <c r="Q94" s="127"/>
      <c r="R94" s="127"/>
      <c r="S94" s="127"/>
      <c r="T94" s="181"/>
      <c r="U94" s="180"/>
      <c r="V94" s="131" t="s">
        <v>207</v>
      </c>
      <c r="W94" s="127"/>
      <c r="X94" s="127"/>
      <c r="Y94" s="127"/>
      <c r="Z94" s="127"/>
      <c r="AA94" s="171"/>
      <c r="AD94" s="150" t="s">
        <v>212</v>
      </c>
      <c r="AE94" s="127"/>
      <c r="AF94" s="127"/>
      <c r="AG94" s="127"/>
      <c r="AH94" s="127"/>
      <c r="AI94" s="186"/>
      <c r="AJ94" s="185"/>
      <c r="AK94" s="132" t="s">
        <v>212</v>
      </c>
      <c r="AL94" s="127"/>
      <c r="AM94" s="127"/>
      <c r="AN94" s="127"/>
      <c r="AO94" s="145"/>
    </row>
    <row r="95" spans="14:41" hidden="1">
      <c r="N95" s="175" t="s">
        <v>208</v>
      </c>
      <c r="O95" s="127"/>
      <c r="P95" s="127"/>
      <c r="Q95" s="127"/>
      <c r="R95" s="127"/>
      <c r="S95" s="127"/>
      <c r="T95" s="181"/>
      <c r="U95" s="180"/>
      <c r="V95" s="131" t="s">
        <v>208</v>
      </c>
      <c r="W95" s="127"/>
      <c r="X95" s="127"/>
      <c r="Y95" s="127"/>
      <c r="Z95" s="127"/>
      <c r="AA95" s="171"/>
      <c r="AD95" s="150" t="s">
        <v>213</v>
      </c>
      <c r="AE95" s="127"/>
      <c r="AF95" s="127"/>
      <c r="AG95" s="127"/>
      <c r="AH95" s="127"/>
      <c r="AI95" s="186"/>
      <c r="AJ95" s="185"/>
      <c r="AK95" s="132" t="s">
        <v>213</v>
      </c>
      <c r="AL95" s="127"/>
      <c r="AM95" s="127"/>
      <c r="AN95" s="127"/>
      <c r="AO95" s="145"/>
    </row>
    <row r="96" spans="14:41" hidden="1">
      <c r="N96" s="175" t="s">
        <v>209</v>
      </c>
      <c r="O96" s="127"/>
      <c r="P96" s="127"/>
      <c r="Q96" s="127"/>
      <c r="R96" s="127"/>
      <c r="S96" s="127"/>
      <c r="T96" s="181"/>
      <c r="U96" s="180"/>
      <c r="V96" s="131" t="s">
        <v>209</v>
      </c>
      <c r="W96" s="127"/>
      <c r="X96" s="127"/>
      <c r="Y96" s="127"/>
      <c r="Z96" s="127"/>
      <c r="AA96" s="171"/>
      <c r="AD96" s="150" t="s">
        <v>214</v>
      </c>
      <c r="AE96" s="127"/>
      <c r="AF96" s="127"/>
      <c r="AG96" s="127"/>
      <c r="AH96" s="127"/>
      <c r="AI96" s="186"/>
      <c r="AJ96" s="185"/>
      <c r="AK96" s="132" t="s">
        <v>214</v>
      </c>
      <c r="AL96" s="127"/>
      <c r="AM96" s="127"/>
      <c r="AN96" s="127"/>
      <c r="AO96" s="145"/>
    </row>
    <row r="97" spans="9:41" hidden="1">
      <c r="N97" s="175" t="s">
        <v>210</v>
      </c>
      <c r="O97" s="127"/>
      <c r="P97" s="127"/>
      <c r="Q97" s="127"/>
      <c r="R97" s="127"/>
      <c r="S97" s="127"/>
      <c r="T97" s="181"/>
      <c r="U97" s="180"/>
      <c r="V97" s="131" t="s">
        <v>210</v>
      </c>
      <c r="W97" s="127"/>
      <c r="X97" s="127"/>
      <c r="Y97" s="127"/>
      <c r="Z97" s="127"/>
      <c r="AA97" s="171"/>
      <c r="AD97" s="151" t="s">
        <v>215</v>
      </c>
      <c r="AE97" s="127"/>
      <c r="AF97" s="127"/>
      <c r="AG97" s="127"/>
      <c r="AH97" s="127"/>
      <c r="AI97" s="186"/>
      <c r="AJ97" s="185"/>
      <c r="AK97" s="133" t="s">
        <v>215</v>
      </c>
      <c r="AL97" s="127"/>
      <c r="AM97" s="127"/>
      <c r="AN97" s="127"/>
      <c r="AO97" s="145"/>
    </row>
    <row r="98" spans="9:41" hidden="1">
      <c r="N98" s="176" t="s">
        <v>211</v>
      </c>
      <c r="O98" s="127"/>
      <c r="P98" s="127"/>
      <c r="Q98" s="127"/>
      <c r="R98" s="127"/>
      <c r="S98" s="127"/>
      <c r="T98" s="181"/>
      <c r="U98" s="180"/>
      <c r="V98" s="132" t="s">
        <v>211</v>
      </c>
      <c r="W98" s="127"/>
      <c r="X98" s="127"/>
      <c r="Y98" s="127"/>
      <c r="Z98" s="127"/>
      <c r="AA98" s="171"/>
      <c r="AD98" s="151" t="s">
        <v>216</v>
      </c>
      <c r="AE98" s="127"/>
      <c r="AF98" s="127"/>
      <c r="AG98" s="127"/>
      <c r="AH98" s="127"/>
      <c r="AI98" s="186"/>
      <c r="AJ98" s="185"/>
      <c r="AK98" s="133" t="s">
        <v>216</v>
      </c>
      <c r="AL98" s="127"/>
      <c r="AM98" s="127"/>
      <c r="AN98" s="127"/>
      <c r="AO98" s="145"/>
    </row>
    <row r="99" spans="9:41" hidden="1">
      <c r="N99" s="176" t="s">
        <v>212</v>
      </c>
      <c r="O99" s="127"/>
      <c r="P99" s="127"/>
      <c r="Q99" s="127"/>
      <c r="R99" s="127"/>
      <c r="S99" s="127"/>
      <c r="T99" s="181"/>
      <c r="U99" s="180"/>
      <c r="V99" s="132" t="s">
        <v>212</v>
      </c>
      <c r="W99" s="127"/>
      <c r="X99" s="127"/>
      <c r="Y99" s="127"/>
      <c r="Z99" s="127"/>
      <c r="AA99" s="171"/>
      <c r="AD99" s="151" t="s">
        <v>217</v>
      </c>
      <c r="AE99" s="127"/>
      <c r="AF99" s="127"/>
      <c r="AG99" s="127"/>
      <c r="AH99" s="127"/>
      <c r="AI99" s="186"/>
      <c r="AJ99" s="185"/>
      <c r="AK99" s="133" t="s">
        <v>217</v>
      </c>
      <c r="AL99" s="127"/>
      <c r="AM99" s="127"/>
      <c r="AN99" s="127"/>
      <c r="AO99" s="145"/>
    </row>
    <row r="100" spans="9:41" hidden="1">
      <c r="N100" s="176" t="s">
        <v>213</v>
      </c>
      <c r="O100" s="127"/>
      <c r="P100" s="127"/>
      <c r="Q100" s="127"/>
      <c r="R100" s="127"/>
      <c r="S100" s="127"/>
      <c r="T100" s="181"/>
      <c r="U100" s="180"/>
      <c r="V100" s="132" t="s">
        <v>213</v>
      </c>
      <c r="W100" s="127"/>
      <c r="X100" s="127"/>
      <c r="Y100" s="127"/>
      <c r="Z100" s="127"/>
      <c r="AA100" s="171"/>
      <c r="AD100" s="151" t="s">
        <v>218</v>
      </c>
      <c r="AE100" s="127"/>
      <c r="AF100" s="127"/>
      <c r="AG100" s="127"/>
      <c r="AH100" s="127"/>
      <c r="AI100" s="186"/>
      <c r="AJ100" s="185"/>
      <c r="AK100" s="133" t="s">
        <v>218</v>
      </c>
      <c r="AL100" s="127"/>
      <c r="AM100" s="127"/>
      <c r="AN100" s="127"/>
      <c r="AO100" s="145"/>
    </row>
    <row r="101" spans="9:41" ht="13.5" hidden="1" thickBot="1">
      <c r="N101" s="176" t="s">
        <v>214</v>
      </c>
      <c r="O101" s="127"/>
      <c r="P101" s="127"/>
      <c r="Q101" s="127"/>
      <c r="R101" s="127"/>
      <c r="S101" s="127"/>
      <c r="T101" s="182"/>
      <c r="U101" s="183"/>
      <c r="V101" s="132" t="s">
        <v>214</v>
      </c>
      <c r="W101" s="127"/>
      <c r="X101" s="127"/>
      <c r="Y101" s="127"/>
      <c r="Z101" s="127"/>
      <c r="AA101" s="171"/>
      <c r="AD101" s="155" t="s">
        <v>219</v>
      </c>
      <c r="AE101" s="156"/>
      <c r="AF101" s="156"/>
      <c r="AG101" s="156"/>
      <c r="AH101" s="156"/>
      <c r="AI101" s="187"/>
      <c r="AJ101" s="188"/>
      <c r="AK101" s="157" t="s">
        <v>219</v>
      </c>
      <c r="AL101" s="156"/>
      <c r="AM101" s="156"/>
      <c r="AN101" s="156"/>
      <c r="AO101" s="158"/>
    </row>
    <row r="107" spans="9:41">
      <c r="I107" s="97"/>
      <c r="J107" s="101"/>
      <c r="K107" s="101"/>
      <c r="L107" s="101"/>
      <c r="M107" s="101"/>
      <c r="N107" s="97"/>
      <c r="O107" s="97"/>
      <c r="P107" s="97"/>
      <c r="Q107" s="97"/>
      <c r="R107" s="97"/>
      <c r="S107" s="97"/>
      <c r="T107" s="97"/>
      <c r="U107" s="97"/>
      <c r="V107" s="97"/>
      <c r="W107" s="97"/>
    </row>
    <row r="108" spans="9:41">
      <c r="I108" s="97"/>
      <c r="J108" s="101"/>
      <c r="K108" s="101"/>
      <c r="L108" s="101"/>
      <c r="M108" s="101"/>
      <c r="N108" s="97"/>
      <c r="O108" s="97"/>
      <c r="P108" s="94"/>
      <c r="Q108" s="94"/>
      <c r="R108" s="94"/>
      <c r="S108" s="94"/>
      <c r="T108" s="97"/>
      <c r="U108" s="97"/>
      <c r="V108" s="102"/>
      <c r="W108" s="97"/>
      <c r="Y108" s="99"/>
      <c r="Z108" s="99"/>
      <c r="AA108" s="99"/>
    </row>
    <row r="109" spans="9:41" ht="27.75" customHeight="1">
      <c r="I109" s="97"/>
      <c r="J109" s="103"/>
      <c r="K109" s="101"/>
      <c r="L109" s="101"/>
      <c r="M109" s="101"/>
      <c r="N109" s="97"/>
      <c r="O109" s="104"/>
      <c r="P109" s="105"/>
      <c r="Q109" s="105"/>
      <c r="R109" s="105"/>
      <c r="S109" s="105"/>
      <c r="T109" s="97"/>
      <c r="U109" s="97"/>
      <c r="V109" s="106"/>
      <c r="W109" s="97"/>
      <c r="Y109" s="99"/>
      <c r="Z109" s="99"/>
      <c r="AA109" s="99"/>
    </row>
    <row r="110" spans="9:41">
      <c r="I110" s="97"/>
      <c r="J110" s="101"/>
      <c r="K110" s="101"/>
      <c r="L110" s="101"/>
      <c r="M110" s="101"/>
      <c r="N110" s="97"/>
      <c r="O110" s="97"/>
      <c r="P110" s="94"/>
      <c r="Q110" s="94"/>
      <c r="R110" s="94"/>
      <c r="S110" s="94"/>
      <c r="T110" s="97"/>
      <c r="U110" s="97"/>
      <c r="V110" s="102"/>
      <c r="W110" s="97"/>
      <c r="Y110" s="99"/>
      <c r="Z110" s="99"/>
      <c r="AA110" s="99"/>
    </row>
    <row r="111" spans="9:41">
      <c r="I111" s="97"/>
      <c r="J111" s="101"/>
      <c r="K111" s="101"/>
      <c r="L111" s="101"/>
      <c r="M111" s="101"/>
      <c r="N111" s="97"/>
      <c r="O111" s="97"/>
      <c r="P111" s="97"/>
      <c r="Q111" s="97"/>
      <c r="R111" s="97"/>
      <c r="S111" s="97"/>
      <c r="T111" s="97"/>
      <c r="U111" s="97"/>
      <c r="V111" s="97"/>
      <c r="W111" s="97"/>
    </row>
    <row r="112" spans="9:41">
      <c r="I112" s="97"/>
      <c r="J112" s="101"/>
      <c r="K112" s="101"/>
      <c r="L112" s="101"/>
      <c r="M112" s="101"/>
      <c r="N112" s="97"/>
      <c r="O112" s="97"/>
      <c r="P112" s="97"/>
      <c r="Q112" s="97"/>
      <c r="R112" s="97"/>
      <c r="S112" s="97"/>
      <c r="T112" s="97"/>
      <c r="U112" s="97"/>
      <c r="V112" s="97"/>
      <c r="W112" s="97"/>
    </row>
    <row r="113" spans="5:23">
      <c r="I113" s="97"/>
      <c r="J113" s="101"/>
      <c r="K113" s="101"/>
      <c r="L113" s="101"/>
      <c r="M113" s="101"/>
      <c r="N113" s="97"/>
      <c r="O113" s="97"/>
      <c r="P113" s="97"/>
      <c r="Q113" s="97"/>
      <c r="R113" s="97"/>
      <c r="S113" s="97"/>
      <c r="T113" s="97"/>
      <c r="U113" s="97"/>
      <c r="V113" s="97"/>
      <c r="W113" s="97"/>
    </row>
    <row r="114" spans="5:23">
      <c r="I114" s="97"/>
      <c r="J114" s="101"/>
      <c r="K114" s="101"/>
      <c r="L114" s="101"/>
      <c r="M114" s="101"/>
      <c r="N114" s="97"/>
      <c r="O114" s="97"/>
      <c r="P114" s="97"/>
      <c r="Q114" s="97"/>
      <c r="R114" s="97"/>
      <c r="S114" s="97"/>
      <c r="T114" s="97"/>
      <c r="U114" s="97"/>
      <c r="V114" s="97"/>
      <c r="W114" s="97"/>
    </row>
    <row r="115" spans="5:23">
      <c r="I115" s="97"/>
      <c r="J115" s="101"/>
      <c r="K115" s="101"/>
      <c r="L115" s="101"/>
      <c r="M115" s="101"/>
      <c r="N115" s="97"/>
      <c r="O115" s="97"/>
      <c r="P115" s="97"/>
      <c r="Q115" s="97"/>
      <c r="R115" s="97"/>
      <c r="S115" s="97"/>
      <c r="T115" s="97"/>
      <c r="U115" s="97"/>
      <c r="V115" s="97"/>
      <c r="W115" s="97"/>
    </row>
    <row r="116" spans="5:23">
      <c r="I116" s="97"/>
      <c r="J116" s="101"/>
      <c r="K116" s="101"/>
      <c r="L116" s="101"/>
      <c r="M116" s="101"/>
      <c r="N116" s="97"/>
      <c r="O116" s="97"/>
      <c r="P116" s="97"/>
      <c r="Q116" s="97"/>
      <c r="R116" s="97"/>
      <c r="S116" s="97"/>
      <c r="T116" s="97"/>
      <c r="U116" s="97"/>
      <c r="V116" s="97"/>
      <c r="W116" s="97"/>
    </row>
    <row r="121" spans="5:23">
      <c r="E121" s="95" t="e">
        <f>#REF!</f>
        <v>#REF!</v>
      </c>
    </row>
    <row r="122" spans="5:23">
      <c r="E122" s="95" t="e">
        <f>#REF!</f>
        <v>#REF!</v>
      </c>
    </row>
    <row r="123" spans="5:23">
      <c r="E123" s="95" t="e">
        <f>#REF!</f>
        <v>#REF!</v>
      </c>
    </row>
    <row r="124" spans="5:23">
      <c r="E124" s="95" t="e">
        <f>#REF!</f>
        <v>#REF!</v>
      </c>
    </row>
    <row r="125" spans="5:23">
      <c r="E125" s="95" t="e">
        <f>#REF!</f>
        <v>#REF!</v>
      </c>
    </row>
    <row r="126" spans="5:23">
      <c r="E126" s="95" t="e">
        <f>#REF!</f>
        <v>#REF!</v>
      </c>
    </row>
    <row r="127" spans="5:23">
      <c r="E127" s="95" t="e">
        <f>#REF!</f>
        <v>#REF!</v>
      </c>
    </row>
  </sheetData>
  <sheetProtection password="CAE6" sheet="1" objects="1" scenarios="1" selectLockedCells="1" selectUnlockedCells="1"/>
  <mergeCells count="4">
    <mergeCell ref="O1:P1"/>
    <mergeCell ref="N1:N2"/>
    <mergeCell ref="AD1:AD2"/>
    <mergeCell ref="AE1:AF1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21</vt:i4>
      </vt:variant>
    </vt:vector>
  </HeadingPairs>
  <TitlesOfParts>
    <vt:vector size="25" baseType="lpstr">
      <vt:lpstr>Анализ стоимости</vt:lpstr>
      <vt:lpstr>НМЦК</vt:lpstr>
      <vt:lpstr>НМЦК на печать</vt:lpstr>
      <vt:lpstr>Расчет инфляции</vt:lpstr>
      <vt:lpstr>вид_работ</vt:lpstr>
      <vt:lpstr>год</vt:lpstr>
      <vt:lpstr>'Анализ стоимости'!Заголовки_для_печати</vt:lpstr>
      <vt:lpstr>инф_р</vt:lpstr>
      <vt:lpstr>инф_р2</vt:lpstr>
      <vt:lpstr>инф_с</vt:lpstr>
      <vt:lpstr>инф_с2</vt:lpstr>
      <vt:lpstr>месяц</vt:lpstr>
      <vt:lpstr>'Анализ стоимости'!Область_печати</vt:lpstr>
      <vt:lpstr>НМЦК!Область_печати</vt:lpstr>
      <vt:lpstr>'НМЦК на печать'!Область_печати</vt:lpstr>
      <vt:lpstr>обосн</vt:lpstr>
      <vt:lpstr>район</vt:lpstr>
      <vt:lpstr>рем_содер</vt:lpstr>
      <vt:lpstr>стар_год</vt:lpstr>
      <vt:lpstr>стар_инф_р</vt:lpstr>
      <vt:lpstr>стар_инф_р2</vt:lpstr>
      <vt:lpstr>стар_инф_с</vt:lpstr>
      <vt:lpstr>стар_инф_с2</vt:lpstr>
      <vt:lpstr>таблица</vt:lpstr>
      <vt:lpstr>уров_цен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Белошкура Андрей Александрович</dc:creator>
  <cp:lastModifiedBy>Admin</cp:lastModifiedBy>
  <cp:lastPrinted>2018-06-04T06:14:52Z</cp:lastPrinted>
  <dcterms:created xsi:type="dcterms:W3CDTF">2004-02-05T08:45:17Z</dcterms:created>
  <dcterms:modified xsi:type="dcterms:W3CDTF">2018-08-29T10:34:14Z</dcterms:modified>
</cp:coreProperties>
</file>